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ucsldorg-my.sharepoint.com/personal/director_ucsld_org/Documents/Budget_Taxes/Tax_Other Revenue Distribution/DistributionReview/Meetings/FinalMeeting/"/>
    </mc:Choice>
  </mc:AlternateContent>
  <xr:revisionPtr revIDLastSave="42" documentId="8_{6D4A8598-673C-4677-97E3-4472B4668545}" xr6:coauthVersionLast="46" xr6:coauthVersionMax="46" xr10:uidLastSave="{97F0923D-B3EF-48FC-A469-A8A69D4E95CF}"/>
  <bookViews>
    <workbookView xWindow="28680" yWindow="-120" windowWidth="30960" windowHeight="16920" tabRatio="789" activeTab="6" xr2:uid="{E2E27DD6-A0E4-4D3E-8DF1-4AA575A11272}"/>
  </bookViews>
  <sheets>
    <sheet name="A - Population" sheetId="1" r:id="rId1"/>
    <sheet name="B - Base Formula Elements" sheetId="15" r:id="rId2"/>
    <sheet name="C - Scenario" sheetId="17" r:id="rId3"/>
    <sheet name="D - Scenario" sheetId="16" r:id="rId4"/>
    <sheet name=" E - Scenario" sheetId="19" r:id="rId5"/>
    <sheet name="F - 2PopCategories" sheetId="24" r:id="rId6"/>
    <sheet name="G - 4PopCategories" sheetId="21" r:id="rId7"/>
    <sheet name="H - SLO Consult" sheetId="25" r:id="rId8"/>
    <sheet name="I - Oregon Averages" sheetId="30" r:id="rId9"/>
    <sheet name="J - Resource Sharing" sheetId="29" r:id="rId10"/>
    <sheet name="K - Benefits-DD" sheetId="28" r:id="rId11"/>
    <sheet name="L - Benefits-BBurgener" sheetId="31" r:id="rId12"/>
    <sheet name="M - Community Service Fees" sheetId="32" r:id="rId13"/>
    <sheet name="N- Graphics" sheetId="18" r:id="rId14"/>
    <sheet name="O - CompareScenarios" sheetId="22" r:id="rId15"/>
    <sheet name="UCSLD Paid Costs" sheetId="33"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 i="24" l="1"/>
  <c r="E10" i="24"/>
  <c r="E11" i="24"/>
  <c r="E15" i="24"/>
  <c r="E13" i="24"/>
  <c r="K3" i="19"/>
  <c r="G3" i="19"/>
  <c r="E8" i="19"/>
  <c r="N3" i="15"/>
  <c r="K3" i="15"/>
  <c r="J3" i="15"/>
  <c r="I3" i="15"/>
  <c r="H2" i="1"/>
  <c r="AL14" i="22"/>
  <c r="AL13" i="22"/>
  <c r="AL12" i="22"/>
  <c r="AL11" i="22"/>
  <c r="AL10" i="22"/>
  <c r="AL9" i="22"/>
  <c r="AL8" i="22"/>
  <c r="AL7" i="22"/>
  <c r="AL6" i="22"/>
  <c r="AL5" i="22"/>
  <c r="AL4" i="22"/>
  <c r="AL3" i="22"/>
  <c r="AK14" i="22"/>
  <c r="AK13" i="22"/>
  <c r="AK12" i="22"/>
  <c r="AK11" i="22"/>
  <c r="AK10" i="22"/>
  <c r="AK9" i="22"/>
  <c r="AK8" i="22"/>
  <c r="AK7" i="22"/>
  <c r="AK6" i="22"/>
  <c r="AK5" i="22"/>
  <c r="AK4" i="22"/>
  <c r="AK3" i="22"/>
  <c r="AJ15" i="22"/>
  <c r="AL15" i="22" s="1"/>
  <c r="AI14" i="22"/>
  <c r="AI13" i="22"/>
  <c r="AI12" i="22"/>
  <c r="AI11" i="22"/>
  <c r="AI10" i="22"/>
  <c r="AI9" i="22"/>
  <c r="AI8" i="22"/>
  <c r="AI7" i="22"/>
  <c r="AI6" i="22"/>
  <c r="AI5" i="22"/>
  <c r="AI4" i="22"/>
  <c r="AI3" i="22"/>
  <c r="AH14" i="22"/>
  <c r="AH13" i="22"/>
  <c r="AH12" i="22"/>
  <c r="AH11" i="22"/>
  <c r="AH10" i="22"/>
  <c r="AH9" i="22"/>
  <c r="AH8" i="22"/>
  <c r="AH7" i="22"/>
  <c r="AH6" i="22"/>
  <c r="AH5" i="22"/>
  <c r="AH4" i="22"/>
  <c r="AH3" i="22"/>
  <c r="F17" i="33"/>
  <c r="C17" i="33"/>
  <c r="L37" i="32"/>
  <c r="M35" i="32" s="1"/>
  <c r="B37" i="32"/>
  <c r="C35" i="32" s="1"/>
  <c r="M36" i="32"/>
  <c r="C36" i="32"/>
  <c r="C34" i="32"/>
  <c r="M33" i="32"/>
  <c r="C33" i="32"/>
  <c r="M32" i="32"/>
  <c r="M10" i="32" s="1"/>
  <c r="C32" i="32"/>
  <c r="C30" i="32"/>
  <c r="M29" i="32"/>
  <c r="C29" i="32"/>
  <c r="M28" i="32"/>
  <c r="C28" i="32"/>
  <c r="C26" i="32"/>
  <c r="M25" i="32"/>
  <c r="C25" i="32"/>
  <c r="M21" i="32"/>
  <c r="L9" i="32" s="1"/>
  <c r="L21" i="32"/>
  <c r="G21" i="32"/>
  <c r="H21" i="32" s="1"/>
  <c r="G3" i="32" s="1"/>
  <c r="B21" i="32"/>
  <c r="C21" i="32" s="1"/>
  <c r="L20" i="32"/>
  <c r="G20" i="32"/>
  <c r="B20" i="32"/>
  <c r="H16" i="32"/>
  <c r="I14" i="32"/>
  <c r="I13" i="32"/>
  <c r="I12" i="32"/>
  <c r="I11" i="32"/>
  <c r="L10" i="32"/>
  <c r="I10" i="32"/>
  <c r="I9" i="32"/>
  <c r="I8" i="32"/>
  <c r="I7" i="32"/>
  <c r="I6" i="32"/>
  <c r="I5" i="32"/>
  <c r="I4" i="32"/>
  <c r="N10" i="32" l="1"/>
  <c r="C14" i="32"/>
  <c r="B13" i="32"/>
  <c r="C6" i="32"/>
  <c r="B5" i="32"/>
  <c r="C7" i="32"/>
  <c r="C8" i="32"/>
  <c r="B7" i="32"/>
  <c r="D7" i="32" s="1"/>
  <c r="B3" i="32"/>
  <c r="B6" i="32"/>
  <c r="B8" i="32"/>
  <c r="M3" i="32"/>
  <c r="C10" i="32"/>
  <c r="B9" i="32"/>
  <c r="C11" i="32"/>
  <c r="B10" i="32"/>
  <c r="D10" i="32" s="1"/>
  <c r="C12" i="32"/>
  <c r="B11" i="32"/>
  <c r="C4" i="32"/>
  <c r="C3" i="32"/>
  <c r="B12" i="32"/>
  <c r="D12" i="32" s="1"/>
  <c r="B4" i="32"/>
  <c r="D4" i="32" s="1"/>
  <c r="B14" i="32"/>
  <c r="D14" i="32" s="1"/>
  <c r="M11" i="32"/>
  <c r="M6" i="32"/>
  <c r="I3" i="32"/>
  <c r="I16" i="32" s="1"/>
  <c r="G16" i="32"/>
  <c r="M7" i="32"/>
  <c r="M14" i="32"/>
  <c r="C13" i="32"/>
  <c r="M13" i="32"/>
  <c r="L7" i="32"/>
  <c r="N7" i="32" s="1"/>
  <c r="L6" i="32"/>
  <c r="N6" i="32" s="1"/>
  <c r="L14" i="32"/>
  <c r="N14" i="32" s="1"/>
  <c r="M26" i="32"/>
  <c r="M4" i="32" s="1"/>
  <c r="M30" i="32"/>
  <c r="M8" i="32" s="1"/>
  <c r="M34" i="32"/>
  <c r="M12" i="32" s="1"/>
  <c r="L5" i="32"/>
  <c r="N5" i="32" s="1"/>
  <c r="L13" i="32"/>
  <c r="N13" i="32" s="1"/>
  <c r="L8" i="32"/>
  <c r="C27" i="32"/>
  <c r="C31" i="32"/>
  <c r="C9" i="32" s="1"/>
  <c r="L4" i="32"/>
  <c r="N4" i="32" s="1"/>
  <c r="L12" i="32"/>
  <c r="M27" i="32"/>
  <c r="M5" i="32" s="1"/>
  <c r="M31" i="32"/>
  <c r="M9" i="32" s="1"/>
  <c r="N9" i="32" s="1"/>
  <c r="L3" i="32"/>
  <c r="L11" i="32"/>
  <c r="D9" i="32" l="1"/>
  <c r="C16" i="32"/>
  <c r="D8" i="32"/>
  <c r="D13" i="32"/>
  <c r="M16" i="32"/>
  <c r="D11" i="32"/>
  <c r="D6" i="32"/>
  <c r="N12" i="32"/>
  <c r="C5" i="32"/>
  <c r="D5" i="32" s="1"/>
  <c r="C37" i="32"/>
  <c r="N11" i="32"/>
  <c r="N8" i="32"/>
  <c r="M37" i="32"/>
  <c r="N3" i="32"/>
  <c r="N16" i="32" s="1"/>
  <c r="L16" i="32"/>
  <c r="B16" i="32"/>
  <c r="D3" i="32"/>
  <c r="D16" i="32" l="1"/>
  <c r="J14" i="31" l="1"/>
  <c r="J13" i="31"/>
  <c r="J12" i="31"/>
  <c r="J11" i="31"/>
  <c r="J10" i="31"/>
  <c r="J9" i="31"/>
  <c r="J8" i="31"/>
  <c r="J7" i="31"/>
  <c r="J6" i="31"/>
  <c r="J5" i="31"/>
  <c r="J4" i="31"/>
  <c r="E14" i="31"/>
  <c r="E11" i="31"/>
  <c r="E10" i="31"/>
  <c r="E5" i="31"/>
  <c r="E4" i="31"/>
  <c r="J3" i="31"/>
  <c r="H14" i="31" l="1"/>
  <c r="H13" i="31"/>
  <c r="H11" i="31"/>
  <c r="H10" i="31"/>
  <c r="H9" i="31"/>
  <c r="H8" i="31"/>
  <c r="H5" i="31"/>
  <c r="H4" i="31"/>
  <c r="N15" i="31"/>
  <c r="C15" i="31"/>
  <c r="O14" i="31"/>
  <c r="G14" i="31"/>
  <c r="O13" i="31"/>
  <c r="I13" i="31"/>
  <c r="G13" i="31"/>
  <c r="E13" i="31"/>
  <c r="O12" i="31"/>
  <c r="G12" i="31"/>
  <c r="O11" i="31"/>
  <c r="G11" i="31"/>
  <c r="O10" i="31"/>
  <c r="G10" i="31"/>
  <c r="O9" i="31"/>
  <c r="I9" i="31"/>
  <c r="E9" i="31"/>
  <c r="G9" i="31" s="1"/>
  <c r="O8" i="31"/>
  <c r="I8" i="31"/>
  <c r="E8" i="31"/>
  <c r="G8" i="31" s="1"/>
  <c r="O7" i="31"/>
  <c r="H7" i="31"/>
  <c r="G7" i="31"/>
  <c r="K7" i="31" s="1"/>
  <c r="O6" i="31"/>
  <c r="G6" i="31"/>
  <c r="O5" i="31"/>
  <c r="G5" i="31"/>
  <c r="O4" i="31"/>
  <c r="G4" i="31"/>
  <c r="O3" i="31"/>
  <c r="G3" i="31"/>
  <c r="K4" i="31" l="1"/>
  <c r="K5" i="31"/>
  <c r="K8" i="31"/>
  <c r="K11" i="31"/>
  <c r="K14" i="31"/>
  <c r="K9" i="31"/>
  <c r="K13" i="31"/>
  <c r="K3" i="31"/>
  <c r="K12" i="31"/>
  <c r="K10" i="31"/>
  <c r="K6" i="31"/>
  <c r="AG15" i="22"/>
  <c r="AI15" i="22" s="1"/>
  <c r="AF14" i="22"/>
  <c r="AF13" i="22"/>
  <c r="AF12" i="22"/>
  <c r="AF11" i="22"/>
  <c r="AF10" i="22"/>
  <c r="AF9" i="22"/>
  <c r="AF8" i="22"/>
  <c r="AF7" i="22"/>
  <c r="AF6" i="22"/>
  <c r="AF5" i="22"/>
  <c r="AF4" i="22"/>
  <c r="AF3" i="22"/>
  <c r="AE14" i="22"/>
  <c r="AE13" i="22"/>
  <c r="AE12" i="22"/>
  <c r="AE11" i="22"/>
  <c r="AE10" i="22"/>
  <c r="AE9" i="22"/>
  <c r="AE8" i="22"/>
  <c r="AE7" i="22"/>
  <c r="AE6" i="22"/>
  <c r="AE5" i="22"/>
  <c r="AE4" i="22"/>
  <c r="AE3" i="22"/>
  <c r="AD15" i="22"/>
  <c r="AF15" i="22" s="1"/>
  <c r="AC12" i="22"/>
  <c r="AB12" i="22"/>
  <c r="AC14" i="22"/>
  <c r="AC13" i="22"/>
  <c r="AC11" i="22"/>
  <c r="AC10" i="22"/>
  <c r="AC9" i="22"/>
  <c r="AC8" i="22"/>
  <c r="AC7" i="22"/>
  <c r="AC6" i="22"/>
  <c r="AC5" i="22"/>
  <c r="AC4" i="22"/>
  <c r="AC3" i="22"/>
  <c r="AB14" i="22"/>
  <c r="AB13" i="22"/>
  <c r="AB11" i="22"/>
  <c r="AB10" i="22"/>
  <c r="AB9" i="22"/>
  <c r="AB8" i="22"/>
  <c r="AB7" i="22"/>
  <c r="AB6" i="22"/>
  <c r="AB5" i="22"/>
  <c r="AB4" i="22"/>
  <c r="AB3" i="22"/>
  <c r="AA15" i="22"/>
  <c r="AC15" i="22" s="1"/>
  <c r="Z14" i="22"/>
  <c r="Z13" i="22"/>
  <c r="Z12" i="22"/>
  <c r="Z11" i="22"/>
  <c r="Z10" i="22"/>
  <c r="Z9" i="22"/>
  <c r="Z8" i="22"/>
  <c r="Z7" i="22"/>
  <c r="Z6" i="22"/>
  <c r="Z5" i="22"/>
  <c r="Z4" i="22"/>
  <c r="Z3" i="22"/>
  <c r="W14" i="22"/>
  <c r="W13" i="22"/>
  <c r="W12" i="22"/>
  <c r="W11" i="22"/>
  <c r="W10" i="22"/>
  <c r="W9" i="22"/>
  <c r="W8" i="22"/>
  <c r="W7" i="22"/>
  <c r="W6" i="22"/>
  <c r="W5" i="22"/>
  <c r="W4" i="22"/>
  <c r="W3" i="22"/>
  <c r="K15" i="31" l="1"/>
  <c r="E13" i="30"/>
  <c r="G13" i="30" s="1"/>
  <c r="E9" i="30"/>
  <c r="G9" i="30" s="1"/>
  <c r="E8" i="30"/>
  <c r="G8" i="30" s="1"/>
  <c r="M15" i="30"/>
  <c r="N11" i="30" s="1"/>
  <c r="C15" i="30"/>
  <c r="G14" i="30"/>
  <c r="I14" i="30" s="1"/>
  <c r="J14" i="30" s="1"/>
  <c r="H13" i="30"/>
  <c r="G12" i="30"/>
  <c r="I12" i="30" s="1"/>
  <c r="G11" i="30"/>
  <c r="G10" i="30"/>
  <c r="I10" i="30" s="1"/>
  <c r="J10" i="30" s="1"/>
  <c r="H9" i="30"/>
  <c r="H8" i="30"/>
  <c r="G7" i="30"/>
  <c r="I7" i="30" s="1"/>
  <c r="J7" i="30" s="1"/>
  <c r="G6" i="30"/>
  <c r="G5" i="30"/>
  <c r="G4" i="30"/>
  <c r="I4" i="30" s="1"/>
  <c r="J4" i="30" s="1"/>
  <c r="G3" i="30"/>
  <c r="I3" i="30" s="1"/>
  <c r="J3" i="30" s="1"/>
  <c r="N15" i="28"/>
  <c r="C15" i="28"/>
  <c r="G14" i="28"/>
  <c r="J14" i="28" s="1"/>
  <c r="I13" i="28"/>
  <c r="E13" i="28"/>
  <c r="G13" i="28" s="1"/>
  <c r="J13" i="28" s="1"/>
  <c r="G12" i="28"/>
  <c r="J12" i="28" s="1"/>
  <c r="G11" i="28"/>
  <c r="H11" i="28" s="1"/>
  <c r="G10" i="28"/>
  <c r="H10" i="28" s="1"/>
  <c r="I9" i="28"/>
  <c r="E9" i="28"/>
  <c r="G9" i="28" s="1"/>
  <c r="H9" i="28" s="1"/>
  <c r="I8" i="28"/>
  <c r="E8" i="28"/>
  <c r="G8" i="28" s="1"/>
  <c r="G7" i="28"/>
  <c r="H7" i="28" s="1"/>
  <c r="G6" i="28"/>
  <c r="H6" i="28" s="1"/>
  <c r="G5" i="28"/>
  <c r="J5" i="28" s="1"/>
  <c r="G4" i="28"/>
  <c r="H4" i="28" s="1"/>
  <c r="G3" i="28"/>
  <c r="J3" i="28" s="1"/>
  <c r="N15" i="29"/>
  <c r="O13" i="29" s="1"/>
  <c r="K15" i="29"/>
  <c r="C15" i="29"/>
  <c r="G14" i="29"/>
  <c r="I14" i="29" s="1"/>
  <c r="J14" i="29" s="1"/>
  <c r="H13" i="29"/>
  <c r="G13" i="29"/>
  <c r="I13" i="29" s="1"/>
  <c r="J13" i="29" s="1"/>
  <c r="E13" i="29"/>
  <c r="G12" i="29"/>
  <c r="I12" i="29" s="1"/>
  <c r="J12" i="29" s="1"/>
  <c r="G11" i="29"/>
  <c r="I11" i="29" s="1"/>
  <c r="G10" i="29"/>
  <c r="H9" i="29"/>
  <c r="E9" i="29"/>
  <c r="G9" i="29" s="1"/>
  <c r="H8" i="29"/>
  <c r="E8" i="29"/>
  <c r="G8" i="29" s="1"/>
  <c r="I7" i="29"/>
  <c r="J7" i="29" s="1"/>
  <c r="G7" i="29"/>
  <c r="G6" i="29"/>
  <c r="I6" i="29" s="1"/>
  <c r="J6" i="29" s="1"/>
  <c r="G5" i="29"/>
  <c r="I5" i="29" s="1"/>
  <c r="G4" i="29"/>
  <c r="G3" i="29"/>
  <c r="I3" i="29" s="1"/>
  <c r="J3" i="29" s="1"/>
  <c r="I8" i="30" l="1"/>
  <c r="J8" i="30" s="1"/>
  <c r="N4" i="30"/>
  <c r="N10" i="30"/>
  <c r="I9" i="30"/>
  <c r="J9" i="30" s="1"/>
  <c r="O4" i="29"/>
  <c r="O7" i="29"/>
  <c r="O10" i="29"/>
  <c r="O5" i="29"/>
  <c r="O8" i="29"/>
  <c r="O11" i="29"/>
  <c r="J11" i="29"/>
  <c r="O14" i="29"/>
  <c r="J5" i="29"/>
  <c r="O3" i="29"/>
  <c r="O9" i="29"/>
  <c r="L15" i="31"/>
  <c r="M15" i="31" s="1"/>
  <c r="K16" i="31" s="1"/>
  <c r="J11" i="28"/>
  <c r="K11" i="28"/>
  <c r="H3" i="28"/>
  <c r="H5" i="28"/>
  <c r="K5" i="28" s="1"/>
  <c r="O8" i="28"/>
  <c r="O7" i="28"/>
  <c r="O14" i="28"/>
  <c r="O6" i="28"/>
  <c r="O13" i="28"/>
  <c r="O5" i="28"/>
  <c r="O9" i="28"/>
  <c r="O12" i="28"/>
  <c r="O4" i="28"/>
  <c r="O11" i="28"/>
  <c r="O3" i="28"/>
  <c r="O10" i="28"/>
  <c r="H12" i="28"/>
  <c r="K3" i="28"/>
  <c r="I13" i="30"/>
  <c r="J13" i="30" s="1"/>
  <c r="I6" i="30"/>
  <c r="J6" i="30" s="1"/>
  <c r="J12" i="30"/>
  <c r="N3" i="30"/>
  <c r="I5" i="30"/>
  <c r="J5" i="30" s="1"/>
  <c r="N7" i="30"/>
  <c r="N8" i="30"/>
  <c r="N9" i="30"/>
  <c r="I11" i="30"/>
  <c r="J11" i="30" s="1"/>
  <c r="N14" i="30"/>
  <c r="N6" i="30"/>
  <c r="N12" i="30"/>
  <c r="N13" i="30"/>
  <c r="N5" i="30"/>
  <c r="K12" i="28"/>
  <c r="J8" i="28"/>
  <c r="H8" i="28"/>
  <c r="J6" i="28"/>
  <c r="K6" i="28" s="1"/>
  <c r="J9" i="28"/>
  <c r="K9" i="28" s="1"/>
  <c r="K7" i="28"/>
  <c r="J10" i="28"/>
  <c r="K10" i="28" s="1"/>
  <c r="J4" i="28"/>
  <c r="K4" i="28" s="1"/>
  <c r="H13" i="28"/>
  <c r="K13" i="28" s="1"/>
  <c r="H14" i="28"/>
  <c r="K14" i="28" s="1"/>
  <c r="I8" i="29"/>
  <c r="J8" i="29" s="1"/>
  <c r="I9" i="29"/>
  <c r="J9" i="29" s="1"/>
  <c r="I4" i="29"/>
  <c r="J4" i="29" s="1"/>
  <c r="O6" i="29"/>
  <c r="I10" i="29"/>
  <c r="J10" i="29" s="1"/>
  <c r="O12" i="29"/>
  <c r="O15" i="29" l="1"/>
  <c r="L13" i="31"/>
  <c r="M13" i="31" s="1"/>
  <c r="L11" i="31"/>
  <c r="M11" i="31" s="1"/>
  <c r="L7" i="31"/>
  <c r="M7" i="31" s="1"/>
  <c r="L8" i="31"/>
  <c r="M8" i="31" s="1"/>
  <c r="L14" i="31"/>
  <c r="M14" i="31" s="1"/>
  <c r="L12" i="31"/>
  <c r="M12" i="31" s="1"/>
  <c r="L3" i="31"/>
  <c r="M3" i="31" s="1"/>
  <c r="L10" i="31"/>
  <c r="M10" i="31" s="1"/>
  <c r="L4" i="31"/>
  <c r="M4" i="31" s="1"/>
  <c r="L5" i="31"/>
  <c r="M5" i="31" s="1"/>
  <c r="L9" i="31"/>
  <c r="M9" i="31" s="1"/>
  <c r="L6" i="31"/>
  <c r="M6" i="31" s="1"/>
  <c r="K8" i="28"/>
  <c r="K15" i="28" s="1"/>
  <c r="L15" i="28" s="1"/>
  <c r="J15" i="30"/>
  <c r="N15" i="30"/>
  <c r="J15" i="29"/>
  <c r="L4" i="28" l="1"/>
  <c r="L7" i="28"/>
  <c r="L8" i="28"/>
  <c r="K15" i="30"/>
  <c r="L15" i="29"/>
  <c r="M15" i="29" s="1"/>
  <c r="J16" i="29" s="1"/>
  <c r="K10" i="30" l="1"/>
  <c r="L10" i="30" s="1"/>
  <c r="K4" i="30"/>
  <c r="L4" i="30" s="1"/>
  <c r="K11" i="30"/>
  <c r="L11" i="30" s="1"/>
  <c r="K5" i="30"/>
  <c r="L5" i="30" s="1"/>
  <c r="K9" i="30"/>
  <c r="L9" i="30" s="1"/>
  <c r="K8" i="30"/>
  <c r="L8" i="30" s="1"/>
  <c r="K7" i="30"/>
  <c r="L7" i="30" s="1"/>
  <c r="K13" i="30"/>
  <c r="L13" i="30" s="1"/>
  <c r="K12" i="30"/>
  <c r="L12" i="30" s="1"/>
  <c r="K6" i="30"/>
  <c r="L6" i="30" s="1"/>
  <c r="K14" i="30"/>
  <c r="L14" i="30" s="1"/>
  <c r="K3" i="30"/>
  <c r="L3" i="30" s="1"/>
  <c r="L15" i="30"/>
  <c r="J16" i="30" s="1"/>
  <c r="M15" i="28"/>
  <c r="L5" i="28" s="1"/>
  <c r="L14" i="29"/>
  <c r="M14" i="29" s="1"/>
  <c r="L10" i="29"/>
  <c r="M10" i="29" s="1"/>
  <c r="L4" i="29"/>
  <c r="M4" i="29" s="1"/>
  <c r="L8" i="29"/>
  <c r="M8" i="29" s="1"/>
  <c r="L3" i="29"/>
  <c r="M3" i="29" s="1"/>
  <c r="L11" i="29"/>
  <c r="M11" i="29" s="1"/>
  <c r="L5" i="29"/>
  <c r="M5" i="29" s="1"/>
  <c r="L13" i="29"/>
  <c r="M13" i="29" s="1"/>
  <c r="L12" i="29"/>
  <c r="M12" i="29" s="1"/>
  <c r="L6" i="29"/>
  <c r="M6" i="29" s="1"/>
  <c r="L9" i="29"/>
  <c r="M9" i="29" s="1"/>
  <c r="L7" i="29"/>
  <c r="M7" i="29" s="1"/>
  <c r="L13" i="28" l="1"/>
  <c r="M13" i="28" s="1"/>
  <c r="L3" i="28"/>
  <c r="M3" i="28" s="1"/>
  <c r="L14" i="28"/>
  <c r="M14" i="28" s="1"/>
  <c r="L11" i="28"/>
  <c r="M11" i="28" s="1"/>
  <c r="L6" i="28"/>
  <c r="M6" i="28" s="1"/>
  <c r="M8" i="28"/>
  <c r="K16" i="28"/>
  <c r="L10" i="28"/>
  <c r="M10" i="28" s="1"/>
  <c r="L9" i="28"/>
  <c r="M9" i="28" s="1"/>
  <c r="M5" i="28"/>
  <c r="M7" i="28"/>
  <c r="M4" i="28"/>
  <c r="L12" i="28"/>
  <c r="M12" i="28" s="1"/>
  <c r="X15" i="22" l="1"/>
  <c r="Z15" i="22" s="1"/>
  <c r="U15" i="22"/>
  <c r="R15" i="22"/>
  <c r="T15" i="22" s="1"/>
  <c r="O15" i="22"/>
  <c r="Q15" i="22" s="1"/>
  <c r="I15" i="22"/>
  <c r="F15" i="22"/>
  <c r="C15" i="22"/>
  <c r="B15" i="22"/>
  <c r="Y14" i="22"/>
  <c r="V14" i="22"/>
  <c r="T14" i="22"/>
  <c r="S14" i="22"/>
  <c r="Q14" i="22"/>
  <c r="P14" i="22"/>
  <c r="N14" i="22"/>
  <c r="M14" i="22"/>
  <c r="K14" i="22"/>
  <c r="J14" i="22"/>
  <c r="H14" i="22"/>
  <c r="G14" i="22"/>
  <c r="E14" i="22"/>
  <c r="D14" i="22"/>
  <c r="Y13" i="22"/>
  <c r="V13" i="22"/>
  <c r="T13" i="22"/>
  <c r="S13" i="22"/>
  <c r="Q13" i="22"/>
  <c r="P13" i="22"/>
  <c r="N13" i="22"/>
  <c r="M13" i="22"/>
  <c r="K13" i="22"/>
  <c r="J13" i="22"/>
  <c r="H13" i="22"/>
  <c r="G13" i="22"/>
  <c r="E13" i="22"/>
  <c r="D13" i="22"/>
  <c r="Y12" i="22"/>
  <c r="V12" i="22"/>
  <c r="T12" i="22"/>
  <c r="S12" i="22"/>
  <c r="Q12" i="22"/>
  <c r="P12" i="22"/>
  <c r="N12" i="22"/>
  <c r="M12" i="22"/>
  <c r="K12" i="22"/>
  <c r="J12" i="22"/>
  <c r="H12" i="22"/>
  <c r="G12" i="22"/>
  <c r="E12" i="22"/>
  <c r="D12" i="22"/>
  <c r="Y11" i="22"/>
  <c r="V11" i="22"/>
  <c r="T11" i="22"/>
  <c r="S11" i="22"/>
  <c r="Q11" i="22"/>
  <c r="P11" i="22"/>
  <c r="N11" i="22"/>
  <c r="M11" i="22"/>
  <c r="K11" i="22"/>
  <c r="J11" i="22"/>
  <c r="H11" i="22"/>
  <c r="G11" i="22"/>
  <c r="E11" i="22"/>
  <c r="D11" i="22"/>
  <c r="Y10" i="22"/>
  <c r="V10" i="22"/>
  <c r="T10" i="22"/>
  <c r="S10" i="22"/>
  <c r="Q10" i="22"/>
  <c r="P10" i="22"/>
  <c r="N10" i="22"/>
  <c r="M10" i="22"/>
  <c r="K10" i="22"/>
  <c r="J10" i="22"/>
  <c r="H10" i="22"/>
  <c r="G10" i="22"/>
  <c r="E10" i="22"/>
  <c r="D10" i="22"/>
  <c r="Y9" i="22"/>
  <c r="V9" i="22"/>
  <c r="T9" i="22"/>
  <c r="S9" i="22"/>
  <c r="Q9" i="22"/>
  <c r="P9" i="22"/>
  <c r="N9" i="22"/>
  <c r="M9" i="22"/>
  <c r="K9" i="22"/>
  <c r="J9" i="22"/>
  <c r="H9" i="22"/>
  <c r="G9" i="22"/>
  <c r="E9" i="22"/>
  <c r="D9" i="22"/>
  <c r="Y8" i="22"/>
  <c r="V8" i="22"/>
  <c r="T8" i="22"/>
  <c r="S8" i="22"/>
  <c r="Q8" i="22"/>
  <c r="P8" i="22"/>
  <c r="N8" i="22"/>
  <c r="M8" i="22"/>
  <c r="K8" i="22"/>
  <c r="J8" i="22"/>
  <c r="H8" i="22"/>
  <c r="G8" i="22"/>
  <c r="E8" i="22"/>
  <c r="D8" i="22"/>
  <c r="Y7" i="22"/>
  <c r="V7" i="22"/>
  <c r="T7" i="22"/>
  <c r="S7" i="22"/>
  <c r="Q7" i="22"/>
  <c r="P7" i="22"/>
  <c r="N7" i="22"/>
  <c r="M7" i="22"/>
  <c r="K7" i="22"/>
  <c r="J7" i="22"/>
  <c r="H7" i="22"/>
  <c r="G7" i="22"/>
  <c r="E7" i="22"/>
  <c r="D7" i="22"/>
  <c r="Y6" i="22"/>
  <c r="V6" i="22"/>
  <c r="T6" i="22"/>
  <c r="S6" i="22"/>
  <c r="Q6" i="22"/>
  <c r="P6" i="22"/>
  <c r="N6" i="22"/>
  <c r="M6" i="22"/>
  <c r="K6" i="22"/>
  <c r="J6" i="22"/>
  <c r="H6" i="22"/>
  <c r="G6" i="22"/>
  <c r="E6" i="22"/>
  <c r="D6" i="22"/>
  <c r="Y5" i="22"/>
  <c r="V5" i="22"/>
  <c r="T5" i="22"/>
  <c r="S5" i="22"/>
  <c r="Q5" i="22"/>
  <c r="P5" i="22"/>
  <c r="N5" i="22"/>
  <c r="M5" i="22"/>
  <c r="K5" i="22"/>
  <c r="J5" i="22"/>
  <c r="H5" i="22"/>
  <c r="G5" i="22"/>
  <c r="E5" i="22"/>
  <c r="D5" i="22"/>
  <c r="Y4" i="22"/>
  <c r="V4" i="22"/>
  <c r="T4" i="22"/>
  <c r="S4" i="22"/>
  <c r="Q4" i="22"/>
  <c r="P4" i="22"/>
  <c r="N4" i="22"/>
  <c r="M4" i="22"/>
  <c r="K4" i="22"/>
  <c r="J4" i="22"/>
  <c r="H4" i="22"/>
  <c r="G4" i="22"/>
  <c r="E4" i="22"/>
  <c r="D4" i="22"/>
  <c r="Y3" i="22"/>
  <c r="V3" i="22"/>
  <c r="T3" i="22"/>
  <c r="S3" i="22"/>
  <c r="Q3" i="22"/>
  <c r="P3" i="22"/>
  <c r="N3" i="22"/>
  <c r="M3" i="22"/>
  <c r="K3" i="22"/>
  <c r="J3" i="22"/>
  <c r="H3" i="22"/>
  <c r="G3" i="22"/>
  <c r="E3" i="22"/>
  <c r="D3" i="22"/>
  <c r="AH15" i="22" l="1"/>
  <c r="AK15" i="22"/>
  <c r="G15" i="22"/>
  <c r="J15" i="22"/>
  <c r="D15" i="22"/>
  <c r="AB15" i="22"/>
  <c r="AE15" i="22"/>
  <c r="M15" i="22"/>
  <c r="V15" i="22"/>
  <c r="W15" i="22"/>
  <c r="H15" i="22"/>
  <c r="N15" i="22"/>
  <c r="E15" i="22"/>
  <c r="K15" i="22"/>
  <c r="Y15" i="22"/>
  <c r="P15" i="22"/>
  <c r="S15" i="22"/>
  <c r="E13" i="25" l="1"/>
  <c r="G13" i="25" s="1"/>
  <c r="E9" i="25"/>
  <c r="G9" i="25" s="1"/>
  <c r="I9" i="25" s="1"/>
  <c r="E8" i="25"/>
  <c r="G8" i="25" s="1"/>
  <c r="I8" i="25" s="1"/>
  <c r="J3" i="25"/>
  <c r="I14" i="25"/>
  <c r="I12" i="25"/>
  <c r="I11" i="25"/>
  <c r="I10" i="25"/>
  <c r="I6" i="25"/>
  <c r="I5" i="25"/>
  <c r="I4" i="25"/>
  <c r="I3" i="25"/>
  <c r="H13" i="25"/>
  <c r="H9" i="25"/>
  <c r="H8" i="25"/>
  <c r="H14" i="25"/>
  <c r="H11" i="25"/>
  <c r="H10" i="25"/>
  <c r="H5" i="25"/>
  <c r="H4" i="25"/>
  <c r="H12" i="25"/>
  <c r="H3" i="25"/>
  <c r="H6" i="25"/>
  <c r="M15" i="25"/>
  <c r="C15" i="25"/>
  <c r="N14" i="25"/>
  <c r="G14" i="25"/>
  <c r="N13" i="25"/>
  <c r="N12" i="25"/>
  <c r="G12" i="25"/>
  <c r="N11" i="25"/>
  <c r="G11" i="25"/>
  <c r="N10" i="25"/>
  <c r="G10" i="25"/>
  <c r="N9" i="25"/>
  <c r="N8" i="25"/>
  <c r="N7" i="25"/>
  <c r="G7" i="25"/>
  <c r="I7" i="25" s="1"/>
  <c r="N6" i="25"/>
  <c r="G6" i="25"/>
  <c r="N5" i="25"/>
  <c r="G5" i="25"/>
  <c r="N4" i="25"/>
  <c r="G4" i="25"/>
  <c r="N3" i="25"/>
  <c r="N15" i="25" s="1"/>
  <c r="G3" i="25"/>
  <c r="I13" i="25" l="1"/>
  <c r="J13" i="25"/>
  <c r="J11" i="25"/>
  <c r="J5" i="25"/>
  <c r="J14" i="25"/>
  <c r="J8" i="25"/>
  <c r="J9" i="25"/>
  <c r="J10" i="25"/>
  <c r="J4" i="25"/>
  <c r="J7" i="25"/>
  <c r="J6" i="25"/>
  <c r="J12" i="25"/>
  <c r="G15" i="24"/>
  <c r="J15" i="25" l="1"/>
  <c r="E13" i="21"/>
  <c r="K15" i="25" l="1"/>
  <c r="E12" i="24"/>
  <c r="G13" i="24"/>
  <c r="G10" i="24"/>
  <c r="M17" i="24"/>
  <c r="C17" i="24"/>
  <c r="G16" i="24"/>
  <c r="I16" i="24" s="1"/>
  <c r="J16" i="24" s="1"/>
  <c r="H15" i="24"/>
  <c r="G14" i="24"/>
  <c r="H13" i="24"/>
  <c r="G12" i="24"/>
  <c r="H11" i="24"/>
  <c r="G11" i="24"/>
  <c r="H10" i="24"/>
  <c r="G9" i="24"/>
  <c r="G8" i="24"/>
  <c r="G7" i="24"/>
  <c r="I7" i="24" s="1"/>
  <c r="J7" i="24" s="1"/>
  <c r="G6" i="24"/>
  <c r="G5" i="24"/>
  <c r="K10" i="25" l="1"/>
  <c r="L10" i="25" s="1"/>
  <c r="K4" i="25"/>
  <c r="L4" i="25" s="1"/>
  <c r="K12" i="25"/>
  <c r="L12" i="25" s="1"/>
  <c r="K14" i="25"/>
  <c r="L14" i="25" s="1"/>
  <c r="K9" i="25"/>
  <c r="L9" i="25" s="1"/>
  <c r="K8" i="25"/>
  <c r="L8" i="25" s="1"/>
  <c r="K7" i="25"/>
  <c r="L7" i="25" s="1"/>
  <c r="K3" i="25"/>
  <c r="L3" i="25" s="1"/>
  <c r="K11" i="25"/>
  <c r="L11" i="25" s="1"/>
  <c r="K5" i="25"/>
  <c r="L5" i="25" s="1"/>
  <c r="K13" i="25"/>
  <c r="L13" i="25" s="1"/>
  <c r="K6" i="25"/>
  <c r="L6" i="25" s="1"/>
  <c r="L15" i="25"/>
  <c r="J16" i="25" s="1"/>
  <c r="N6" i="24"/>
  <c r="N14" i="24"/>
  <c r="N7" i="24"/>
  <c r="N15" i="24"/>
  <c r="N8" i="24"/>
  <c r="N16" i="24"/>
  <c r="N11" i="24"/>
  <c r="N9" i="24"/>
  <c r="N5" i="24"/>
  <c r="N10" i="24"/>
  <c r="N12" i="24"/>
  <c r="N13" i="24"/>
  <c r="J5" i="24"/>
  <c r="I13" i="24"/>
  <c r="J13" i="24" s="1"/>
  <c r="I9" i="24"/>
  <c r="J9" i="24" s="1"/>
  <c r="I11" i="24"/>
  <c r="J11" i="24" s="1"/>
  <c r="I10" i="24"/>
  <c r="J10" i="24" s="1"/>
  <c r="I15" i="24"/>
  <c r="J15" i="24" s="1"/>
  <c r="I6" i="24"/>
  <c r="J6" i="24" s="1"/>
  <c r="I8" i="24"/>
  <c r="J8" i="24" s="1"/>
  <c r="I12" i="24"/>
  <c r="J12" i="24" s="1"/>
  <c r="I14" i="24"/>
  <c r="J14" i="24" s="1"/>
  <c r="H13" i="21"/>
  <c r="H11" i="21"/>
  <c r="H9" i="21"/>
  <c r="H8" i="21"/>
  <c r="E9" i="21"/>
  <c r="G9" i="21" s="1"/>
  <c r="E8" i="21"/>
  <c r="G8" i="21" s="1"/>
  <c r="M15" i="21"/>
  <c r="N13" i="21" s="1"/>
  <c r="C15" i="21"/>
  <c r="N14" i="21"/>
  <c r="G14" i="21"/>
  <c r="I14" i="21" s="1"/>
  <c r="G13" i="21"/>
  <c r="N12" i="21"/>
  <c r="G12" i="21"/>
  <c r="N11" i="21"/>
  <c r="G11" i="21"/>
  <c r="N10" i="21"/>
  <c r="G10" i="21"/>
  <c r="N8" i="21"/>
  <c r="N7" i="21"/>
  <c r="G7" i="21"/>
  <c r="I7" i="21" s="1"/>
  <c r="J7" i="21" s="1"/>
  <c r="N6" i="21"/>
  <c r="G6" i="21"/>
  <c r="N5" i="21"/>
  <c r="G5" i="21"/>
  <c r="I5" i="21" s="1"/>
  <c r="J5" i="21" s="1"/>
  <c r="N4" i="21"/>
  <c r="G4" i="21"/>
  <c r="N3" i="21"/>
  <c r="G3" i="21"/>
  <c r="I3" i="21" s="1"/>
  <c r="J3" i="21" s="1"/>
  <c r="J17" i="24" l="1"/>
  <c r="K17" i="24" s="1"/>
  <c r="N9" i="21"/>
  <c r="N17" i="24"/>
  <c r="N15" i="21"/>
  <c r="I11" i="21"/>
  <c r="J11" i="21" s="1"/>
  <c r="J4" i="21"/>
  <c r="I8" i="21"/>
  <c r="J8" i="21" s="1"/>
  <c r="I13" i="21"/>
  <c r="J13" i="21" s="1"/>
  <c r="I9" i="21"/>
  <c r="J9" i="21" s="1"/>
  <c r="J14" i="21"/>
  <c r="I4" i="21"/>
  <c r="I6" i="21"/>
  <c r="J6" i="21" s="1"/>
  <c r="I10" i="21"/>
  <c r="J10" i="21" s="1"/>
  <c r="I12" i="21"/>
  <c r="J12" i="21" s="1"/>
  <c r="E9" i="19"/>
  <c r="E13" i="19"/>
  <c r="K13" i="24" l="1"/>
  <c r="J15" i="21"/>
  <c r="C36" i="18"/>
  <c r="B36" i="18"/>
  <c r="L17" i="24" l="1"/>
  <c r="J18" i="24" s="1"/>
  <c r="K6" i="24"/>
  <c r="K7" i="24"/>
  <c r="K8" i="24"/>
  <c r="K9" i="24"/>
  <c r="K10" i="24"/>
  <c r="K14" i="24"/>
  <c r="K15" i="24"/>
  <c r="K16" i="24"/>
  <c r="K5" i="24"/>
  <c r="K11" i="24"/>
  <c r="K12" i="24"/>
  <c r="K15" i="21"/>
  <c r="B18" i="18"/>
  <c r="C17" i="18"/>
  <c r="D17" i="18" s="1"/>
  <c r="C16" i="18"/>
  <c r="D16" i="18" s="1"/>
  <c r="C15" i="18"/>
  <c r="D15" i="18" s="1"/>
  <c r="C14" i="18"/>
  <c r="D14" i="18" s="1"/>
  <c r="C13" i="18"/>
  <c r="D13" i="18" s="1"/>
  <c r="C12" i="18"/>
  <c r="D12" i="18" s="1"/>
  <c r="C11" i="18"/>
  <c r="D11" i="18" s="1"/>
  <c r="C10" i="18"/>
  <c r="D10" i="18" s="1"/>
  <c r="C9" i="18"/>
  <c r="D9" i="18" s="1"/>
  <c r="C8" i="18"/>
  <c r="D8" i="18" s="1"/>
  <c r="C7" i="18"/>
  <c r="D7" i="18" s="1"/>
  <c r="C6" i="18"/>
  <c r="K13" i="21" l="1"/>
  <c r="L13" i="21" s="1"/>
  <c r="K12" i="21"/>
  <c r="L12" i="21" s="1"/>
  <c r="K10" i="21"/>
  <c r="L10" i="21" s="1"/>
  <c r="K6" i="21"/>
  <c r="L6" i="21" s="1"/>
  <c r="K4" i="21"/>
  <c r="L4" i="21" s="1"/>
  <c r="K14" i="21"/>
  <c r="L14" i="21" s="1"/>
  <c r="K11" i="21"/>
  <c r="L11" i="21" s="1"/>
  <c r="K9" i="21"/>
  <c r="L9" i="21" s="1"/>
  <c r="K8" i="21"/>
  <c r="L8" i="21" s="1"/>
  <c r="K7" i="21"/>
  <c r="L7" i="21" s="1"/>
  <c r="K5" i="21"/>
  <c r="L5" i="21" s="1"/>
  <c r="K3" i="21"/>
  <c r="L3" i="21" s="1"/>
  <c r="L15" i="21"/>
  <c r="J16" i="21" s="1"/>
  <c r="C18" i="18"/>
  <c r="D6" i="18"/>
  <c r="D18" i="18" s="1"/>
  <c r="H9" i="19" l="1"/>
  <c r="M15" i="19" l="1"/>
  <c r="N10" i="19" s="1"/>
  <c r="C15" i="19"/>
  <c r="G14" i="19"/>
  <c r="H13" i="19"/>
  <c r="G13" i="19"/>
  <c r="G12" i="19"/>
  <c r="I12" i="19" s="1"/>
  <c r="J12" i="19" s="1"/>
  <c r="G11" i="19"/>
  <c r="I11" i="19" s="1"/>
  <c r="J11" i="19" s="1"/>
  <c r="G10" i="19"/>
  <c r="G9" i="19"/>
  <c r="H8" i="19"/>
  <c r="G8" i="19"/>
  <c r="G7" i="19"/>
  <c r="G6" i="19"/>
  <c r="I6" i="19" s="1"/>
  <c r="J6" i="19" s="1"/>
  <c r="G5" i="19"/>
  <c r="I5" i="19" s="1"/>
  <c r="G4" i="19"/>
  <c r="N5" i="19" l="1"/>
  <c r="N13" i="19"/>
  <c r="N12" i="19"/>
  <c r="N6" i="19"/>
  <c r="N14" i="19"/>
  <c r="N7" i="19"/>
  <c r="N11" i="19"/>
  <c r="N8" i="19"/>
  <c r="N3" i="19"/>
  <c r="N9" i="19"/>
  <c r="N4" i="19"/>
  <c r="I8" i="19"/>
  <c r="J8" i="19" s="1"/>
  <c r="I9" i="19"/>
  <c r="J9" i="19" s="1"/>
  <c r="I13" i="19"/>
  <c r="J13" i="19" s="1"/>
  <c r="I4" i="19"/>
  <c r="J4" i="19" s="1"/>
  <c r="I10" i="19"/>
  <c r="J10" i="19" s="1"/>
  <c r="I3" i="19"/>
  <c r="J3" i="19" s="1"/>
  <c r="I7" i="19"/>
  <c r="J7" i="19" s="1"/>
  <c r="I14" i="19"/>
  <c r="J14" i="19" s="1"/>
  <c r="J5" i="19"/>
  <c r="N15" i="19" l="1"/>
  <c r="J15" i="19"/>
  <c r="K15" i="19" l="1"/>
  <c r="M15" i="16"/>
  <c r="M15" i="17"/>
  <c r="N10" i="17" s="1"/>
  <c r="M15" i="15"/>
  <c r="L15" i="19" l="1"/>
  <c r="J16" i="19" s="1"/>
  <c r="K14" i="19"/>
  <c r="L14" i="19" s="1"/>
  <c r="K6" i="19"/>
  <c r="L6" i="19" s="1"/>
  <c r="L3" i="19"/>
  <c r="K13" i="19"/>
  <c r="L13" i="19" s="1"/>
  <c r="K5" i="19"/>
  <c r="L5" i="19" s="1"/>
  <c r="K12" i="19"/>
  <c r="L12" i="19" s="1"/>
  <c r="K8" i="19"/>
  <c r="L8" i="19" s="1"/>
  <c r="K7" i="19"/>
  <c r="L7" i="19" s="1"/>
  <c r="K4" i="19"/>
  <c r="L4" i="19" s="1"/>
  <c r="K11" i="19"/>
  <c r="L11" i="19" s="1"/>
  <c r="K10" i="19"/>
  <c r="L10" i="19" s="1"/>
  <c r="K9" i="19"/>
  <c r="L9" i="19" s="1"/>
  <c r="N10" i="16"/>
  <c r="N9" i="16"/>
  <c r="N5" i="16"/>
  <c r="N12" i="16"/>
  <c r="N11" i="16"/>
  <c r="N8" i="16"/>
  <c r="N7" i="16"/>
  <c r="N14" i="16"/>
  <c r="N6" i="16"/>
  <c r="N13" i="16"/>
  <c r="N4" i="16"/>
  <c r="N3" i="16"/>
  <c r="N5" i="17"/>
  <c r="N13" i="17"/>
  <c r="N6" i="17"/>
  <c r="N14" i="17"/>
  <c r="N3" i="17"/>
  <c r="N4" i="17"/>
  <c r="N7" i="17"/>
  <c r="N8" i="17"/>
  <c r="N9" i="17"/>
  <c r="N11" i="17"/>
  <c r="N12" i="17"/>
  <c r="C15" i="17"/>
  <c r="G14" i="17"/>
  <c r="H13" i="17"/>
  <c r="E13" i="17"/>
  <c r="G13" i="17" s="1"/>
  <c r="G12" i="17"/>
  <c r="I12" i="17" s="1"/>
  <c r="J12" i="17" s="1"/>
  <c r="G11" i="17"/>
  <c r="G10" i="17"/>
  <c r="H9" i="17"/>
  <c r="E9" i="17"/>
  <c r="G9" i="17" s="1"/>
  <c r="H8" i="17"/>
  <c r="E8" i="17"/>
  <c r="G8" i="17" s="1"/>
  <c r="H7" i="17"/>
  <c r="E7" i="17"/>
  <c r="G7" i="17" s="1"/>
  <c r="G6" i="17"/>
  <c r="G5" i="17"/>
  <c r="I5" i="17" s="1"/>
  <c r="J5" i="17" s="1"/>
  <c r="G4" i="17"/>
  <c r="G3" i="17"/>
  <c r="C15" i="16"/>
  <c r="G14" i="16"/>
  <c r="H13" i="16"/>
  <c r="E13" i="16"/>
  <c r="G13" i="16" s="1"/>
  <c r="G12" i="16"/>
  <c r="I12" i="16" s="1"/>
  <c r="J12" i="16" s="1"/>
  <c r="G11" i="16"/>
  <c r="I11" i="16" s="1"/>
  <c r="G10" i="16"/>
  <c r="H9" i="16"/>
  <c r="E9" i="16"/>
  <c r="G9" i="16" s="1"/>
  <c r="H8" i="16"/>
  <c r="E8" i="16"/>
  <c r="G8" i="16" s="1"/>
  <c r="G7" i="16"/>
  <c r="G6" i="16"/>
  <c r="G5" i="16"/>
  <c r="I5" i="16" s="1"/>
  <c r="J5" i="16" s="1"/>
  <c r="G4" i="16"/>
  <c r="G3" i="16"/>
  <c r="C15" i="15"/>
  <c r="N14" i="15"/>
  <c r="G14" i="15"/>
  <c r="I14" i="15" s="1"/>
  <c r="J14" i="15" s="1"/>
  <c r="N13" i="15"/>
  <c r="H13" i="15"/>
  <c r="E13" i="15"/>
  <c r="G13" i="15" s="1"/>
  <c r="N12" i="15"/>
  <c r="G12" i="15"/>
  <c r="N11" i="15"/>
  <c r="G11" i="15"/>
  <c r="I11" i="15" s="1"/>
  <c r="N10" i="15"/>
  <c r="G10" i="15"/>
  <c r="I10" i="15" s="1"/>
  <c r="N9" i="15"/>
  <c r="H9" i="15"/>
  <c r="E9" i="15"/>
  <c r="G9" i="15" s="1"/>
  <c r="N8" i="15"/>
  <c r="H8" i="15"/>
  <c r="E8" i="15"/>
  <c r="G8" i="15" s="1"/>
  <c r="N7" i="15"/>
  <c r="H7" i="15"/>
  <c r="E7" i="15"/>
  <c r="G7" i="15" s="1"/>
  <c r="N6" i="15"/>
  <c r="G6" i="15"/>
  <c r="I6" i="15" s="1"/>
  <c r="J6" i="15" s="1"/>
  <c r="N5" i="15"/>
  <c r="G5" i="15"/>
  <c r="I5" i="15" s="1"/>
  <c r="N4" i="15"/>
  <c r="G4" i="15"/>
  <c r="G3" i="15"/>
  <c r="N15" i="16" l="1"/>
  <c r="I7" i="17"/>
  <c r="J7" i="17" s="1"/>
  <c r="I9" i="17"/>
  <c r="J9" i="17" s="1"/>
  <c r="I8" i="17"/>
  <c r="J8" i="17" s="1"/>
  <c r="I13" i="17"/>
  <c r="J13" i="17" s="1"/>
  <c r="I3" i="17"/>
  <c r="J3" i="17" s="1"/>
  <c r="I6" i="17"/>
  <c r="J6" i="17" s="1"/>
  <c r="I14" i="17"/>
  <c r="J14" i="17" s="1"/>
  <c r="I4" i="17"/>
  <c r="J4" i="17" s="1"/>
  <c r="I11" i="17"/>
  <c r="J11" i="17" s="1"/>
  <c r="I10" i="17"/>
  <c r="J10" i="17" s="1"/>
  <c r="I7" i="16"/>
  <c r="J7" i="16" s="1"/>
  <c r="I9" i="16"/>
  <c r="J9" i="16" s="1"/>
  <c r="I8" i="16"/>
  <c r="J8" i="16" s="1"/>
  <c r="I13" i="16"/>
  <c r="J13" i="16" s="1"/>
  <c r="J11" i="16"/>
  <c r="I3" i="16"/>
  <c r="J3" i="16" s="1"/>
  <c r="I10" i="16"/>
  <c r="J10" i="16" s="1"/>
  <c r="I4" i="16"/>
  <c r="J4" i="16" s="1"/>
  <c r="I6" i="16"/>
  <c r="J6" i="16" s="1"/>
  <c r="I14" i="16"/>
  <c r="J14" i="16" s="1"/>
  <c r="I13" i="15"/>
  <c r="J13" i="15" s="1"/>
  <c r="I7" i="15"/>
  <c r="J7" i="15" s="1"/>
  <c r="I8" i="15"/>
  <c r="J8" i="15" s="1"/>
  <c r="I9" i="15"/>
  <c r="J9" i="15" s="1"/>
  <c r="I12" i="15"/>
  <c r="J12" i="15" s="1"/>
  <c r="J5" i="15"/>
  <c r="I4" i="15"/>
  <c r="J4" i="15" s="1"/>
  <c r="J11" i="15"/>
  <c r="J10" i="15"/>
  <c r="D15" i="1"/>
  <c r="D20" i="1" s="1"/>
  <c r="F16" i="1"/>
  <c r="F9" i="1"/>
  <c r="G9" i="1" s="1"/>
  <c r="J15" i="17" l="1"/>
  <c r="J15" i="16"/>
  <c r="J15" i="15"/>
  <c r="K15" i="17" l="1"/>
  <c r="K15" i="16"/>
  <c r="K15" i="15"/>
  <c r="L15" i="15" s="1"/>
  <c r="J16" i="15" s="1"/>
  <c r="C15" i="1"/>
  <c r="L15" i="17" l="1"/>
  <c r="J16" i="17" s="1"/>
  <c r="K10" i="17"/>
  <c r="L10" i="17" s="1"/>
  <c r="K4" i="17"/>
  <c r="L4" i="17" s="1"/>
  <c r="K5" i="17"/>
  <c r="L5" i="17" s="1"/>
  <c r="K7" i="17"/>
  <c r="L7" i="17" s="1"/>
  <c r="K8" i="17"/>
  <c r="L8" i="17" s="1"/>
  <c r="K9" i="17"/>
  <c r="L9" i="17" s="1"/>
  <c r="K3" i="17"/>
  <c r="L3" i="17" s="1"/>
  <c r="K14" i="17"/>
  <c r="L14" i="17" s="1"/>
  <c r="K13" i="17"/>
  <c r="L13" i="17" s="1"/>
  <c r="K12" i="17"/>
  <c r="L12" i="17" s="1"/>
  <c r="K6" i="17"/>
  <c r="L6" i="17" s="1"/>
  <c r="K11" i="17"/>
  <c r="L11" i="17" s="1"/>
  <c r="L15" i="16"/>
  <c r="J16" i="16" s="1"/>
  <c r="K14" i="16"/>
  <c r="L14" i="16" s="1"/>
  <c r="K13" i="16"/>
  <c r="L13" i="16" s="1"/>
  <c r="K5" i="16"/>
  <c r="K12" i="16"/>
  <c r="L12" i="16" s="1"/>
  <c r="K4" i="16"/>
  <c r="L4" i="16" s="1"/>
  <c r="K11" i="16"/>
  <c r="L11" i="16" s="1"/>
  <c r="K3" i="16"/>
  <c r="L3" i="16" s="1"/>
  <c r="K10" i="16"/>
  <c r="L10" i="16" s="1"/>
  <c r="K9" i="16"/>
  <c r="L9" i="16" s="1"/>
  <c r="K8" i="16"/>
  <c r="L8" i="16" s="1"/>
  <c r="K7" i="16"/>
  <c r="L7" i="16" s="1"/>
  <c r="K6" i="16"/>
  <c r="L6" i="16"/>
  <c r="L5" i="16"/>
  <c r="K10" i="15"/>
  <c r="L10" i="15" s="1"/>
  <c r="L3" i="15"/>
  <c r="K13" i="15"/>
  <c r="L13" i="15" s="1"/>
  <c r="K5" i="15"/>
  <c r="L5" i="15" s="1"/>
  <c r="K8" i="15"/>
  <c r="L8" i="15" s="1"/>
  <c r="K6" i="15"/>
  <c r="L6" i="15" s="1"/>
  <c r="K11" i="15"/>
  <c r="L11" i="15" s="1"/>
  <c r="K4" i="15"/>
  <c r="L4" i="15" s="1"/>
  <c r="K12" i="15"/>
  <c r="L12" i="15" s="1"/>
  <c r="K14" i="15"/>
  <c r="L14" i="15" s="1"/>
  <c r="K9" i="15"/>
  <c r="L9" i="15" s="1"/>
  <c r="K7" i="15"/>
  <c r="L7" i="15" s="1"/>
  <c r="E17" i="1"/>
  <c r="E15" i="1"/>
  <c r="C17" i="1"/>
  <c r="C18" i="1" s="1"/>
  <c r="E18" i="1" l="1"/>
  <c r="F17" i="1"/>
  <c r="F18" i="1" s="1"/>
  <c r="F14" i="1"/>
  <c r="G14" i="1" s="1"/>
  <c r="F13" i="1"/>
  <c r="G13" i="1" s="1"/>
  <c r="F12" i="1"/>
  <c r="G12" i="1" s="1"/>
  <c r="F11" i="1"/>
  <c r="G11" i="1" s="1"/>
  <c r="F10" i="1"/>
  <c r="G10" i="1" s="1"/>
  <c r="F8" i="1"/>
  <c r="G8" i="1" s="1"/>
  <c r="F7" i="1"/>
  <c r="G7" i="1" s="1"/>
  <c r="F6" i="1"/>
  <c r="G6" i="1" s="1"/>
  <c r="F5" i="1"/>
  <c r="G5" i="1" s="1"/>
  <c r="F4" i="1"/>
  <c r="G4" i="1" s="1"/>
  <c r="F3" i="1"/>
  <c r="G3" i="1" s="1"/>
  <c r="F2" i="1"/>
  <c r="G2" i="1" s="1"/>
  <c r="G15" i="1" l="1"/>
  <c r="H3" i="1" s="1"/>
  <c r="H11" i="1"/>
  <c r="G19" i="1"/>
  <c r="H10" i="1"/>
  <c r="H13" i="1"/>
  <c r="F15" i="1"/>
  <c r="H14" i="1" l="1"/>
  <c r="H4" i="1"/>
  <c r="H7" i="1"/>
  <c r="H12" i="1"/>
  <c r="H5" i="1"/>
  <c r="H8" i="1"/>
  <c r="G20" i="1"/>
  <c r="I11" i="1" s="1"/>
  <c r="H9" i="1"/>
  <c r="I9" i="1" s="1"/>
  <c r="H6" i="1"/>
  <c r="I6" i="1" s="1"/>
  <c r="I19" i="1" l="1"/>
  <c r="J6" i="1"/>
  <c r="I3" i="1"/>
  <c r="I14" i="1"/>
  <c r="I7" i="1"/>
  <c r="I8" i="1"/>
  <c r="J8" i="1" s="1"/>
  <c r="I12" i="1"/>
  <c r="H15" i="1"/>
  <c r="I2" i="1"/>
  <c r="I5" i="1"/>
  <c r="I10" i="1"/>
  <c r="I4" i="1"/>
  <c r="I13" i="1"/>
  <c r="J15" i="1" l="1"/>
  <c r="I15" i="1"/>
  <c r="L5" i="24" l="1"/>
  <c r="P5" i="24" s="1"/>
  <c r="L9" i="24"/>
  <c r="P9" i="24" s="1"/>
  <c r="L7" i="24"/>
  <c r="P7" i="24" s="1"/>
  <c r="L13" i="24"/>
  <c r="P13" i="24" s="1"/>
  <c r="L16" i="24"/>
  <c r="P16" i="24" s="1"/>
  <c r="L8" i="24"/>
  <c r="P8" i="24" s="1"/>
  <c r="L10" i="24"/>
  <c r="P10" i="24" s="1"/>
  <c r="L6" i="24"/>
  <c r="P6" i="24" s="1"/>
  <c r="L11" i="24"/>
  <c r="P11" i="24" s="1"/>
  <c r="L14" i="24"/>
  <c r="P14" i="24" s="1"/>
  <c r="L12" i="24"/>
  <c r="P12" i="24" s="1"/>
  <c r="L15" i="24"/>
  <c r="P15" i="24" s="1"/>
</calcChain>
</file>

<file path=xl/sharedStrings.xml><?xml version="1.0" encoding="utf-8"?>
<sst xmlns="http://schemas.openxmlformats.org/spreadsheetml/2006/main" count="677" uniqueCount="169">
  <si>
    <t>Zip Code</t>
  </si>
  <si>
    <t>City</t>
  </si>
  <si>
    <t>2010 Population by zip code within Umatilla County</t>
  </si>
  <si>
    <t>Adams</t>
  </si>
  <si>
    <t>Athena</t>
  </si>
  <si>
    <t>Echo</t>
  </si>
  <si>
    <t>Helix</t>
  </si>
  <si>
    <t>Hermiston</t>
  </si>
  <si>
    <t>Milton-Freewater</t>
  </si>
  <si>
    <t>Pendleton</t>
  </si>
  <si>
    <t>Pilot Rock</t>
  </si>
  <si>
    <t>Stanfield</t>
  </si>
  <si>
    <t>Ukiah</t>
  </si>
  <si>
    <t>Umatilla</t>
  </si>
  <si>
    <t>Weston</t>
  </si>
  <si>
    <t>Umatilla County</t>
  </si>
  <si>
    <t>Library</t>
  </si>
  <si>
    <t>50% equal</t>
  </si>
  <si>
    <t>50% pop.</t>
  </si>
  <si>
    <t>Total</t>
  </si>
  <si>
    <t>Hermiston Rural</t>
  </si>
  <si>
    <t>Tax Revenue</t>
  </si>
  <si>
    <t>District 20%</t>
  </si>
  <si>
    <t>Distribution 80%</t>
  </si>
  <si>
    <r>
      <t xml:space="preserve">Population Number Source: PSU Population Research Center </t>
    </r>
    <r>
      <rPr>
        <i/>
        <sz val="12"/>
        <color rgb="FFFF0000"/>
        <rFont val="Arial"/>
        <family val="2"/>
      </rPr>
      <t>12/15/2019</t>
    </r>
  </si>
  <si>
    <t>Base Threshold Criteria Elements</t>
  </si>
  <si>
    <t>1&lt;1000; 2 1000-3000; 3&gt;3000</t>
  </si>
  <si>
    <t>Personnel FTE*</t>
  </si>
  <si>
    <t>$</t>
  </si>
  <si>
    <t>Staff Funding</t>
  </si>
  <si>
    <t>Collections</t>
  </si>
  <si>
    <t>O&amp;M</t>
  </si>
  <si>
    <t>Hermiston (rural)</t>
  </si>
  <si>
    <t>*Based on Pop Size Cat: 1=0.5; 2=0.8; 3= pop/3000x0.8</t>
  </si>
  <si>
    <t>1 fte @ 18.50/HR</t>
  </si>
  <si>
    <t>1-2000; 2=2500; 3=POP/2000*2000</t>
  </si>
  <si>
    <t>10% of Staff+Coll</t>
  </si>
  <si>
    <t>Incorporated</t>
  </si>
  <si>
    <t>Unincorporated</t>
  </si>
  <si>
    <t>Hermiston shows Rural only</t>
  </si>
  <si>
    <t>Hermiston Rural Population based on Zip Code population - city population</t>
  </si>
  <si>
    <t>Multiplier for Remainder Funds</t>
  </si>
  <si>
    <t xml:space="preserve">Used remaining funds after the base amount is distributed.  Used a % derived from each libraries' % of whole zip code population.  </t>
  </si>
  <si>
    <t xml:space="preserve">% of the total for each zip code area </t>
  </si>
  <si>
    <t xml:space="preserve">Zip Code population </t>
  </si>
  <si>
    <t xml:space="preserve">In the original creation of funding criteria - built a structure based on staffing, collection and O &amp; M.  We have updated/refreshed that part of the formula and calling that Base, using the factors in the spreadsheet.  When funding exceeded the amount of the Base, the remainder was distributed based on population and adjusted within levels of similar sized libraries. We updated the second part, calling them Discretionary funds.  The Discretionary funds are distributed based on various factors - zip code population, service population, historical multiplier.  </t>
  </si>
  <si>
    <t>Meacham</t>
  </si>
  <si>
    <t>Numeric change in City population added to 2010 Zip Code population</t>
  </si>
  <si>
    <t>Remainder of difference between County Population and zip code populations with % change applied</t>
  </si>
  <si>
    <t>Difference between sum of zip code populations and PSU County population</t>
  </si>
  <si>
    <t>Zip Code area number as a percentage of the whole zip code population</t>
  </si>
  <si>
    <t>2010 PSU City Population</t>
  </si>
  <si>
    <t>Final Population Figures to Use - Adding only numeric change</t>
  </si>
  <si>
    <t>PSU Site</t>
  </si>
  <si>
    <t>BASE Amount</t>
  </si>
  <si>
    <t>REMAINDER Amount</t>
  </si>
  <si>
    <t>TOTAL DISTRIBUTION</t>
  </si>
  <si>
    <t>1 fte @ 20.00/HR</t>
  </si>
  <si>
    <t>2020 Population</t>
  </si>
  <si>
    <t>Pop Size Category</t>
  </si>
  <si>
    <t>Difference Between City Pops 2020 - 2010</t>
  </si>
  <si>
    <t>Compare Distribution Methods and Options</t>
  </si>
  <si>
    <t>Distribute $1,500,198 (80% FY2019-2020 Tax Revenue)</t>
  </si>
  <si>
    <t>Population 2020 Update SORTED</t>
  </si>
  <si>
    <t>% District Pop</t>
  </si>
  <si>
    <t>Distribute on Pop</t>
  </si>
  <si>
    <t>Distribute on Equal shares</t>
  </si>
  <si>
    <t>Current Formula</t>
  </si>
  <si>
    <t xml:space="preserve">B-Base Formula </t>
  </si>
  <si>
    <t>C-Scenario</t>
  </si>
  <si>
    <t>D-Scenario</t>
  </si>
  <si>
    <t>E-Scenario</t>
  </si>
  <si>
    <t>SORTING DATA</t>
  </si>
  <si>
    <t>*Based on Pop Size Cat: 1=0.5; 2=0.8; 3= 1; 4=pop/3000x1</t>
  </si>
  <si>
    <t>1-2000; 2=2500; 3=POP&lt;2500=2500, &gt;2500 pop*1, 4=pop*1</t>
  </si>
  <si>
    <t>4 Population Categories</t>
  </si>
  <si>
    <t>% Total</t>
  </si>
  <si>
    <t>Not the same as the "multiplier"</t>
  </si>
  <si>
    <t>E %</t>
  </si>
  <si>
    <t>D %</t>
  </si>
  <si>
    <t>C %</t>
  </si>
  <si>
    <t xml:space="preserve">B- % </t>
  </si>
  <si>
    <t>Per Cap</t>
  </si>
  <si>
    <t>Current Formula $</t>
  </si>
  <si>
    <t>B-Base Formula $</t>
  </si>
  <si>
    <t>C-Scenario $</t>
  </si>
  <si>
    <t>D-Scenario $</t>
  </si>
  <si>
    <t>E-Scenario $</t>
  </si>
  <si>
    <t>Compare Scenarios: Per Cap and % of Total</t>
  </si>
  <si>
    <t>Highlighted % Change &gt;0.2% compared to current formula</t>
  </si>
  <si>
    <t>2 Population Categories</t>
  </si>
  <si>
    <t>&lt;2000; &gt;2000</t>
  </si>
  <si>
    <t>1&lt;2000; 2 &gt;2000</t>
  </si>
  <si>
    <t>Scenario with 2 Population Categories</t>
  </si>
  <si>
    <t>1&lt;1000; 2=1000-2000; 3=2000-3000; 4&gt;3000</t>
  </si>
  <si>
    <t>1-Pop+1000*1.75; 2=Pop+1000*1.50; 3=POP+1000 *1.00</t>
  </si>
  <si>
    <t>1-Staff Funding + Collections *.30; 2-Staff Funding + Collections *.30; 3-Staff Funding + Collections * .25</t>
  </si>
  <si>
    <t>2 Pop Category</t>
  </si>
  <si>
    <t>4 Pop Category</t>
  </si>
  <si>
    <t>SLO Consult</t>
  </si>
  <si>
    <t>Expenditures made on behalf of all of the libraries</t>
  </si>
  <si>
    <t>Sage Library System</t>
  </si>
  <si>
    <t>2020-21 Sage Membership fees</t>
  </si>
  <si>
    <t xml:space="preserve">       Pendleton Public Library</t>
  </si>
  <si>
    <t xml:space="preserve">       Milton-Freewater Public Library</t>
  </si>
  <si>
    <t xml:space="preserve">         Umatilla Public Library</t>
  </si>
  <si>
    <t xml:space="preserve">         Stanfield Public Library</t>
  </si>
  <si>
    <t xml:space="preserve">         Pilot Rock Public Library</t>
  </si>
  <si>
    <t xml:space="preserve">         Athena Public Library</t>
  </si>
  <si>
    <t xml:space="preserve">         Weston Public Library</t>
  </si>
  <si>
    <t xml:space="preserve">         Echo Public Library</t>
  </si>
  <si>
    <t xml:space="preserve">         Adams Public Library</t>
  </si>
  <si>
    <t xml:space="preserve">         Helix Public Library</t>
  </si>
  <si>
    <t xml:space="preserve">         Ukiah Public/School Library</t>
  </si>
  <si>
    <t>Catalog, Circulation</t>
  </si>
  <si>
    <t>InterMountain ESD</t>
  </si>
  <si>
    <t>2-Day Courier - Reimbursed from Sage with LSTA grant funds</t>
  </si>
  <si>
    <t>3rd Day - Paid by UCSLD</t>
  </si>
  <si>
    <t>Library2Go</t>
  </si>
  <si>
    <t>Electronic Library Access</t>
  </si>
  <si>
    <t>Hermiston reimburses their city portion</t>
  </si>
  <si>
    <t>Training</t>
  </si>
  <si>
    <t>Cataloging Utilities</t>
  </si>
  <si>
    <t>20-21 Courier</t>
  </si>
  <si>
    <t>19-20 OCLC</t>
  </si>
  <si>
    <t>19-20 Expenditures</t>
  </si>
  <si>
    <t xml:space="preserve">Administrative costs </t>
  </si>
  <si>
    <t>Grant Administration</t>
  </si>
  <si>
    <t>Training Planning &amp; Execution</t>
  </si>
  <si>
    <t>Cataloging</t>
  </si>
  <si>
    <t>Tech Support</t>
  </si>
  <si>
    <t>Early childhood outreach across all of Umatilla County</t>
  </si>
  <si>
    <t>Support of storytimes &amp; sharing of materials</t>
  </si>
  <si>
    <t>Meetings</t>
  </si>
  <si>
    <t>Calculated, not rounded</t>
  </si>
  <si>
    <t>Numbers in green are rounded to 1 significant place</t>
  </si>
  <si>
    <t xml:space="preserve">The hours that are spent on these activities by UCSLD staff are not calculated.  Suffice it to say that the majority of District staff time is spent on these activities </t>
  </si>
  <si>
    <t>Consulting and mentoring</t>
  </si>
  <si>
    <t>Information Sharing</t>
  </si>
  <si>
    <t>Distributing Tax Funds</t>
  </si>
  <si>
    <t>Elections, Budgeting, Board Duties and Activities</t>
  </si>
  <si>
    <t>19-20 Library2Go for 11 libraries</t>
  </si>
  <si>
    <t>2019-20 Sage Membership fees</t>
  </si>
  <si>
    <t>19-20 2-Day Courier - Reimbursed from Sage with LSTA grant funds</t>
  </si>
  <si>
    <t>19-20 3rd Day - Paid by UCSLD</t>
  </si>
  <si>
    <t xml:space="preserve">Hermiston reimburses their city portion </t>
  </si>
  <si>
    <t>2021 Library2Go for 11 libraries</t>
  </si>
  <si>
    <t>Resource Sharing</t>
  </si>
  <si>
    <t xml:space="preserve">Sharing resources with other county libraries </t>
  </si>
  <si>
    <t>1-2700; 2=3200; 3=POP/2700*2700</t>
  </si>
  <si>
    <t>3% of $1,500,198= $45,006/12</t>
  </si>
  <si>
    <t xml:space="preserve">Benefits </t>
  </si>
  <si>
    <t>1-2000; 2=2500; 3=POP</t>
  </si>
  <si>
    <t>1-3600; 2=5200; 3=POP</t>
  </si>
  <si>
    <t>20% of Staff+Coll</t>
  </si>
  <si>
    <t>*Based on Pop Size Cat: 1=0.7; 2=1; 3= pop/3000x1</t>
  </si>
  <si>
    <t>Oregon Averages</t>
  </si>
  <si>
    <t>1&lt;1000; 2 &gt;2000</t>
  </si>
  <si>
    <t>*Based on Pop Size Cat: 1=0.5; 2= pop/3000x0.8</t>
  </si>
  <si>
    <t>Under 2000 population - $2000; over 2000 - actual population</t>
  </si>
  <si>
    <t>FY2019-20 80% distribution to libraries</t>
  </si>
  <si>
    <t>Community Service Fee Method 50:50 (1st option)</t>
  </si>
  <si>
    <t>Benefits - DD</t>
  </si>
  <si>
    <t>Benefits - Bburgener</t>
  </si>
  <si>
    <t>Numbers in green are the result of the calculated number in Column E</t>
  </si>
  <si>
    <t>PSU City Population 7/2020 - certified 12/2020</t>
  </si>
  <si>
    <t>1-pop&lt;1000=$2000; pop&gt;1000=2500; 2= 2500 or pop*1 whichever is greater</t>
  </si>
  <si>
    <t>*Based on Pop Size Cat: 1=0.5 pop&lt;1000, 0.8 pop&gt;1000; 2=pop/2000x 0.8 &lt;3000 and pop/3000 x 0.8 &gt;3000</t>
  </si>
  <si>
    <t>Percentage of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</si>
</sst>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4" formatCode="_(&quot;$&quot;* #,##0.00_);_(&quot;$&quot;* \(#,##0.00\);_(&quot;$&quot;* &quot;-&quot;??_);_(@_)"/>
    <numFmt numFmtId="43" formatCode="_(* #,##0.00_);_(* \(#,##0.00\);_(* &quot;-&quot;??_);_(@_)"/>
    <numFmt numFmtId="164" formatCode="&quot;$&quot;#,##0.00"/>
    <numFmt numFmtId="165" formatCode="0.000%"/>
    <numFmt numFmtId="166" formatCode="0.0000%"/>
    <numFmt numFmtId="167" formatCode="&quot;$&quot;#,##0"/>
    <numFmt numFmtId="168" formatCode="0.0000"/>
    <numFmt numFmtId="169" formatCode="0.0"/>
  </numFmts>
  <fonts count="20" x14ac:knownFonts="1">
    <font>
      <sz val="11"/>
      <color theme="1"/>
      <name val="Calibri"/>
      <family val="2"/>
      <scheme val="minor"/>
    </font>
    <font>
      <b/>
      <sz val="12"/>
      <color theme="1"/>
      <name val="Arial"/>
      <family val="2"/>
    </font>
    <font>
      <sz val="12"/>
      <color theme="1"/>
      <name val="Arial"/>
      <family val="2"/>
    </font>
    <font>
      <sz val="11"/>
      <color theme="1"/>
      <name val="Calibri"/>
      <family val="2"/>
      <scheme val="minor"/>
    </font>
    <font>
      <u/>
      <sz val="12"/>
      <name val="Arial"/>
      <family val="2"/>
    </font>
    <font>
      <sz val="12"/>
      <name val="Arial"/>
      <family val="2"/>
    </font>
    <font>
      <sz val="12"/>
      <color theme="1"/>
      <name val="Calibri"/>
      <family val="2"/>
      <scheme val="minor"/>
    </font>
    <font>
      <i/>
      <sz val="12"/>
      <name val="Arial"/>
      <family val="2"/>
    </font>
    <font>
      <i/>
      <sz val="12"/>
      <color rgb="FFFF0000"/>
      <name val="Arial"/>
      <family val="2"/>
    </font>
    <font>
      <sz val="12"/>
      <color indexed="9"/>
      <name val="Helv"/>
    </font>
    <font>
      <sz val="11"/>
      <color theme="1"/>
      <name val="Arial"/>
      <family val="2"/>
    </font>
    <font>
      <sz val="12"/>
      <color rgb="FFFF0000"/>
      <name val="Arial"/>
      <family val="2"/>
    </font>
    <font>
      <b/>
      <sz val="12"/>
      <color rgb="FFFF0000"/>
      <name val="Arial"/>
      <family val="2"/>
    </font>
    <font>
      <b/>
      <sz val="11"/>
      <color theme="1"/>
      <name val="Calibri"/>
      <family val="2"/>
      <scheme val="minor"/>
    </font>
    <font>
      <b/>
      <sz val="14"/>
      <color theme="1"/>
      <name val="Calibri"/>
      <family val="2"/>
      <scheme val="minor"/>
    </font>
    <font>
      <sz val="12"/>
      <name val="Calibri"/>
      <family val="2"/>
      <scheme val="minor"/>
    </font>
    <font>
      <sz val="12"/>
      <color rgb="FFFF0000"/>
      <name val="Calibri"/>
      <family val="2"/>
      <scheme val="minor"/>
    </font>
    <font>
      <sz val="14"/>
      <color theme="1"/>
      <name val="Calibri"/>
      <family val="2"/>
      <scheme val="minor"/>
    </font>
    <font>
      <b/>
      <sz val="16"/>
      <color theme="1"/>
      <name val="Arial"/>
      <family val="2"/>
    </font>
    <font>
      <i/>
      <sz val="12"/>
      <color theme="1"/>
      <name val="Arial"/>
      <family val="2"/>
    </font>
  </fonts>
  <fills count="8">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4" tint="0.59996337778862885"/>
        <bgColor indexed="64"/>
      </patternFill>
    </fill>
    <fill>
      <patternFill patternType="solid">
        <fgColor theme="8" tint="0.79998168889431442"/>
        <bgColor indexed="64"/>
      </patternFill>
    </fill>
    <fill>
      <patternFill patternType="solid">
        <fgColor theme="4" tint="0.79998168889431442"/>
        <bgColor indexed="64"/>
      </patternFill>
    </fill>
  </fills>
  <borders count="3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0" fontId="9" fillId="0" borderId="0">
      <protection locked="0"/>
    </xf>
  </cellStyleXfs>
  <cellXfs count="283">
    <xf numFmtId="0" fontId="0" fillId="0" borderId="0" xfId="0"/>
    <xf numFmtId="0" fontId="2" fillId="0" borderId="2" xfId="0" applyFont="1" applyBorder="1" applyAlignment="1">
      <alignment horizontal="left"/>
    </xf>
    <xf numFmtId="0" fontId="2" fillId="0" borderId="2" xfId="0" applyFont="1" applyBorder="1"/>
    <xf numFmtId="3" fontId="2" fillId="0" borderId="2" xfId="0" applyNumberFormat="1" applyFont="1" applyBorder="1"/>
    <xf numFmtId="0" fontId="2" fillId="0" borderId="3" xfId="0" applyFont="1" applyBorder="1" applyAlignment="1">
      <alignment horizontal="left"/>
    </xf>
    <xf numFmtId="0" fontId="2" fillId="0" borderId="3" xfId="0" applyFont="1" applyBorder="1"/>
    <xf numFmtId="3" fontId="2" fillId="0" borderId="3" xfId="0" applyNumberFormat="1" applyFont="1" applyBorder="1"/>
    <xf numFmtId="0" fontId="2" fillId="0" borderId="1" xfId="0" applyFont="1" applyBorder="1" applyAlignment="1">
      <alignment horizontal="left"/>
    </xf>
    <xf numFmtId="0" fontId="2" fillId="0" borderId="1" xfId="0" applyFont="1" applyBorder="1"/>
    <xf numFmtId="3" fontId="2" fillId="0" borderId="1" xfId="0" applyNumberFormat="1" applyFont="1" applyBorder="1"/>
    <xf numFmtId="0" fontId="2" fillId="0" borderId="3" xfId="0" applyFont="1" applyBorder="1" applyAlignment="1">
      <alignment wrapText="1"/>
    </xf>
    <xf numFmtId="37" fontId="2" fillId="2" borderId="5" xfId="0" applyNumberFormat="1" applyFont="1" applyFill="1" applyBorder="1"/>
    <xf numFmtId="37" fontId="2" fillId="2" borderId="6" xfId="0" applyNumberFormat="1" applyFont="1" applyFill="1" applyBorder="1"/>
    <xf numFmtId="37" fontId="2" fillId="2" borderId="4" xfId="0" applyNumberFormat="1" applyFont="1" applyFill="1" applyBorder="1"/>
    <xf numFmtId="0" fontId="2" fillId="0" borderId="0" xfId="0" applyFont="1"/>
    <xf numFmtId="0" fontId="2" fillId="0" borderId="0" xfId="0" applyFont="1" applyAlignment="1">
      <alignment wrapText="1"/>
    </xf>
    <xf numFmtId="3" fontId="2" fillId="0" borderId="0" xfId="0" applyNumberFormat="1" applyFont="1"/>
    <xf numFmtId="0" fontId="4" fillId="0" borderId="0" xfId="0" applyFont="1" applyAlignment="1">
      <alignment horizontal="center" wrapText="1"/>
    </xf>
    <xf numFmtId="0" fontId="5" fillId="0" borderId="0" xfId="0" applyFont="1" applyAlignment="1">
      <alignment horizontal="right" wrapText="1"/>
    </xf>
    <xf numFmtId="0" fontId="6" fillId="0" borderId="0" xfId="0" applyFont="1" applyAlignment="1">
      <alignment wrapText="1"/>
    </xf>
    <xf numFmtId="43" fontId="6" fillId="0" borderId="0" xfId="1" applyFont="1" applyAlignment="1">
      <alignment wrapText="1"/>
    </xf>
    <xf numFmtId="164" fontId="6" fillId="0" borderId="0" xfId="0" applyNumberFormat="1" applyFont="1" applyAlignment="1">
      <alignment wrapText="1"/>
    </xf>
    <xf numFmtId="14" fontId="6" fillId="0" borderId="0" xfId="0" applyNumberFormat="1" applyFont="1" applyAlignment="1">
      <alignment wrapText="1"/>
    </xf>
    <xf numFmtId="44" fontId="6" fillId="0" borderId="0" xfId="2" applyFont="1" applyAlignment="1">
      <alignment wrapText="1"/>
    </xf>
    <xf numFmtId="164" fontId="6" fillId="0" borderId="0" xfId="2" applyNumberFormat="1" applyFont="1" applyAlignment="1">
      <alignment wrapText="1"/>
    </xf>
    <xf numFmtId="43" fontId="6" fillId="0" borderId="0" xfId="0" applyNumberFormat="1" applyFont="1" applyAlignment="1">
      <alignment horizontal="right" wrapText="1"/>
    </xf>
    <xf numFmtId="43" fontId="6" fillId="0" borderId="0" xfId="0" applyNumberFormat="1" applyFont="1" applyAlignment="1">
      <alignment wrapText="1"/>
    </xf>
    <xf numFmtId="164" fontId="6" fillId="0" borderId="0" xfId="2" quotePrefix="1" applyNumberFormat="1" applyFont="1" applyAlignment="1">
      <alignment wrapText="1"/>
    </xf>
    <xf numFmtId="0" fontId="6" fillId="0" borderId="0" xfId="0" applyFont="1" applyAlignment="1">
      <alignment horizontal="right" wrapText="1"/>
    </xf>
    <xf numFmtId="10" fontId="6" fillId="0" borderId="0" xfId="0" applyNumberFormat="1" applyFont="1" applyAlignment="1">
      <alignment wrapText="1"/>
    </xf>
    <xf numFmtId="0" fontId="6" fillId="0" borderId="0" xfId="0" applyFont="1"/>
    <xf numFmtId="37" fontId="6" fillId="0" borderId="0" xfId="0" applyNumberFormat="1" applyFont="1"/>
    <xf numFmtId="165" fontId="6" fillId="0" borderId="0" xfId="0" applyNumberFormat="1" applyFont="1"/>
    <xf numFmtId="0" fontId="6" fillId="0" borderId="7" xfId="0" applyFont="1" applyBorder="1"/>
    <xf numFmtId="165" fontId="6" fillId="0" borderId="7" xfId="0" applyNumberFormat="1" applyFont="1" applyBorder="1"/>
    <xf numFmtId="37" fontId="6" fillId="0" borderId="8" xfId="0" applyNumberFormat="1" applyFont="1" applyBorder="1"/>
    <xf numFmtId="0" fontId="5" fillId="0" borderId="0" xfId="0" applyFont="1"/>
    <xf numFmtId="0" fontId="7" fillId="0" borderId="0" xfId="0" applyFont="1"/>
    <xf numFmtId="0" fontId="5" fillId="0" borderId="0" xfId="0" applyFont="1" applyAlignment="1">
      <alignment horizontal="center"/>
    </xf>
    <xf numFmtId="0" fontId="10" fillId="0" borderId="0" xfId="3" applyFont="1" applyAlignment="1">
      <alignment wrapText="1"/>
      <protection locked="0"/>
    </xf>
    <xf numFmtId="0" fontId="10" fillId="0" borderId="0" xfId="0" applyFont="1" applyAlignment="1">
      <alignment wrapText="1"/>
    </xf>
    <xf numFmtId="14" fontId="10" fillId="0" borderId="0" xfId="3" applyNumberFormat="1" applyFont="1" applyAlignment="1">
      <alignment wrapText="1"/>
      <protection locked="0"/>
    </xf>
    <xf numFmtId="37" fontId="2" fillId="0" borderId="7" xfId="0" applyNumberFormat="1" applyFont="1" applyFill="1" applyBorder="1"/>
    <xf numFmtId="37" fontId="2" fillId="0" borderId="9" xfId="0" applyNumberFormat="1" applyFont="1" applyFill="1" applyBorder="1"/>
    <xf numFmtId="37" fontId="2" fillId="0" borderId="10" xfId="0" applyNumberFormat="1" applyFont="1" applyFill="1" applyBorder="1"/>
    <xf numFmtId="37" fontId="2" fillId="0" borderId="0" xfId="0" applyNumberFormat="1" applyFont="1" applyFill="1" applyBorder="1"/>
    <xf numFmtId="168" fontId="2" fillId="0" borderId="0" xfId="0" applyNumberFormat="1" applyFont="1" applyBorder="1"/>
    <xf numFmtId="0" fontId="2" fillId="0" borderId="0" xfId="0" applyFont="1" applyBorder="1"/>
    <xf numFmtId="3" fontId="2" fillId="2" borderId="3" xfId="0" applyNumberFormat="1" applyFont="1" applyFill="1" applyBorder="1"/>
    <xf numFmtId="3" fontId="2" fillId="0" borderId="0" xfId="0" applyNumberFormat="1" applyFont="1" applyBorder="1"/>
    <xf numFmtId="10" fontId="2" fillId="0" borderId="0" xfId="0" applyNumberFormat="1" applyFont="1" applyBorder="1"/>
    <xf numFmtId="0" fontId="2" fillId="0" borderId="0" xfId="0" applyFont="1" applyBorder="1" applyAlignment="1">
      <alignment wrapText="1"/>
    </xf>
    <xf numFmtId="0" fontId="5" fillId="0" borderId="0" xfId="0" applyFont="1" applyBorder="1" applyAlignment="1">
      <alignment horizontal="center"/>
    </xf>
    <xf numFmtId="0" fontId="5" fillId="0" borderId="0" xfId="0" applyFont="1" applyBorder="1" applyAlignment="1">
      <alignment wrapText="1"/>
    </xf>
    <xf numFmtId="0" fontId="6" fillId="0" borderId="0" xfId="0" applyFont="1" applyBorder="1"/>
    <xf numFmtId="0" fontId="6" fillId="0" borderId="0" xfId="0" applyFont="1" applyBorder="1" applyAlignment="1">
      <alignment wrapText="1"/>
    </xf>
    <xf numFmtId="37" fontId="6" fillId="0" borderId="0" xfId="0" applyNumberFormat="1" applyFont="1" applyBorder="1"/>
    <xf numFmtId="165" fontId="6" fillId="0" borderId="0" xfId="0" applyNumberFormat="1" applyFont="1" applyBorder="1"/>
    <xf numFmtId="166" fontId="6" fillId="0" borderId="0" xfId="0" applyNumberFormat="1" applyFont="1" applyBorder="1" applyAlignment="1">
      <alignment wrapText="1"/>
    </xf>
    <xf numFmtId="0" fontId="5" fillId="0" borderId="0" xfId="0" applyFont="1" applyBorder="1"/>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3" fontId="11" fillId="0" borderId="0" xfId="0" applyNumberFormat="1" applyFont="1" applyBorder="1"/>
    <xf numFmtId="3" fontId="2" fillId="3" borderId="6" xfId="0" applyNumberFormat="1" applyFont="1" applyFill="1" applyBorder="1"/>
    <xf numFmtId="10" fontId="2" fillId="3" borderId="3" xfId="0" applyNumberFormat="1" applyFont="1" applyFill="1" applyBorder="1"/>
    <xf numFmtId="3" fontId="2" fillId="3" borderId="3" xfId="0" applyNumberFormat="1" applyFont="1" applyFill="1" applyBorder="1"/>
    <xf numFmtId="3" fontId="2" fillId="3" borderId="4" xfId="0" applyNumberFormat="1" applyFont="1" applyFill="1" applyBorder="1"/>
    <xf numFmtId="10" fontId="2" fillId="3" borderId="1" xfId="0" applyNumberFormat="1" applyFont="1" applyFill="1" applyBorder="1"/>
    <xf numFmtId="3" fontId="2" fillId="3" borderId="5" xfId="0" applyNumberFormat="1" applyFont="1" applyFill="1" applyBorder="1"/>
    <xf numFmtId="10" fontId="2" fillId="3" borderId="2" xfId="0" applyNumberFormat="1" applyFont="1" applyFill="1" applyBorder="1"/>
    <xf numFmtId="3" fontId="2" fillId="3" borderId="0" xfId="0" applyNumberFormat="1" applyFont="1" applyFill="1"/>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2" fillId="0" borderId="3" xfId="0" applyFont="1" applyBorder="1"/>
    <xf numFmtId="164" fontId="2" fillId="0" borderId="0" xfId="0" applyNumberFormat="1" applyFont="1"/>
    <xf numFmtId="0" fontId="1" fillId="0" borderId="3" xfId="0" applyFont="1" applyBorder="1" applyAlignment="1">
      <alignment horizontal="center" wrapText="1"/>
    </xf>
    <xf numFmtId="0" fontId="2" fillId="0" borderId="3" xfId="0" applyFont="1" applyBorder="1" applyAlignment="1">
      <alignment vertical="center" wrapText="1"/>
    </xf>
    <xf numFmtId="167" fontId="2" fillId="0" borderId="3" xfId="0" applyNumberFormat="1" applyFont="1" applyBorder="1" applyAlignment="1">
      <alignment vertical="center" wrapText="1"/>
    </xf>
    <xf numFmtId="164" fontId="2" fillId="3" borderId="3" xfId="0" applyNumberFormat="1" applyFont="1" applyFill="1" applyBorder="1" applyAlignment="1">
      <alignment vertical="center" wrapText="1"/>
    </xf>
    <xf numFmtId="0" fontId="2" fillId="0" borderId="0" xfId="0" applyFont="1" applyAlignment="1">
      <alignment vertical="center" wrapText="1"/>
    </xf>
    <xf numFmtId="164" fontId="2" fillId="0" borderId="0" xfId="0" applyNumberFormat="1" applyFont="1" applyAlignment="1">
      <alignment vertical="center" wrapText="1"/>
    </xf>
    <xf numFmtId="5" fontId="5" fillId="0" borderId="3" xfId="1" applyNumberFormat="1" applyFont="1" applyFill="1" applyBorder="1"/>
    <xf numFmtId="10" fontId="2" fillId="0" borderId="3" xfId="0" applyNumberFormat="1" applyFont="1" applyBorder="1" applyAlignment="1">
      <alignment vertical="center" wrapText="1"/>
    </xf>
    <xf numFmtId="10" fontId="2" fillId="0" borderId="0" xfId="0" applyNumberFormat="1" applyFont="1" applyAlignment="1">
      <alignment vertical="center" wrapText="1"/>
    </xf>
    <xf numFmtId="3" fontId="2" fillId="0" borderId="3" xfId="0" applyNumberFormat="1" applyFont="1" applyBorder="1" applyAlignment="1">
      <alignment vertical="center" wrapText="1"/>
    </xf>
    <xf numFmtId="3" fontId="2" fillId="0" borderId="0" xfId="0" applyNumberFormat="1" applyFont="1" applyAlignment="1">
      <alignment vertical="center" wrapText="1"/>
    </xf>
    <xf numFmtId="3" fontId="11" fillId="0" borderId="3" xfId="0" applyNumberFormat="1" applyFont="1" applyBorder="1" applyAlignment="1">
      <alignment horizontal="right"/>
    </xf>
    <xf numFmtId="1" fontId="2" fillId="0" borderId="3" xfId="0" applyNumberFormat="1" applyFont="1" applyBorder="1" applyAlignment="1">
      <alignment vertical="center" wrapText="1"/>
    </xf>
    <xf numFmtId="5" fontId="5" fillId="0" borderId="3" xfId="1" applyNumberFormat="1" applyFont="1" applyBorder="1"/>
    <xf numFmtId="5" fontId="2" fillId="0" borderId="3" xfId="0" applyNumberFormat="1" applyFont="1" applyBorder="1" applyAlignment="1">
      <alignment vertical="center" wrapText="1"/>
    </xf>
    <xf numFmtId="167" fontId="1" fillId="0" borderId="3" xfId="0" applyNumberFormat="1" applyFont="1" applyBorder="1" applyAlignment="1">
      <alignment vertical="center" wrapText="1"/>
    </xf>
    <xf numFmtId="3" fontId="2" fillId="3" borderId="3" xfId="0" applyNumberFormat="1" applyFont="1" applyFill="1" applyBorder="1" applyAlignment="1">
      <alignment vertical="center" wrapText="1"/>
    </xf>
    <xf numFmtId="164" fontId="2" fillId="0" borderId="3" xfId="0" applyNumberFormat="1" applyFont="1" applyBorder="1" applyAlignment="1">
      <alignment vertical="center" wrapText="1"/>
    </xf>
    <xf numFmtId="164" fontId="2" fillId="0" borderId="0" xfId="0" applyNumberFormat="1" applyFont="1" applyAlignment="1">
      <alignment wrapText="1"/>
    </xf>
    <xf numFmtId="167" fontId="2" fillId="4" borderId="3" xfId="0" applyNumberFormat="1" applyFont="1" applyFill="1" applyBorder="1" applyAlignment="1">
      <alignment vertical="center" wrapText="1"/>
    </xf>
    <xf numFmtId="167" fontId="1" fillId="4" borderId="3" xfId="0" applyNumberFormat="1" applyFont="1" applyFill="1" applyBorder="1" applyAlignment="1">
      <alignment vertical="center" wrapText="1"/>
    </xf>
    <xf numFmtId="3" fontId="2" fillId="0" borderId="2" xfId="0" applyNumberFormat="1" applyFont="1" applyBorder="1" applyAlignment="1">
      <alignment vertical="center" wrapText="1"/>
    </xf>
    <xf numFmtId="10" fontId="2" fillId="0" borderId="2" xfId="0" applyNumberFormat="1" applyFont="1" applyBorder="1" applyAlignment="1">
      <alignment vertical="center" wrapText="1"/>
    </xf>
    <xf numFmtId="0" fontId="6" fillId="0" borderId="7" xfId="0" applyFont="1" applyBorder="1" applyAlignment="1">
      <alignment wrapText="1"/>
    </xf>
    <xf numFmtId="0" fontId="4" fillId="4" borderId="0" xfId="0" applyFont="1" applyFill="1" applyAlignment="1">
      <alignment horizontal="center" wrapText="1"/>
    </xf>
    <xf numFmtId="164" fontId="6" fillId="4" borderId="0" xfId="0" applyNumberFormat="1" applyFont="1" applyFill="1" applyAlignment="1">
      <alignment wrapText="1"/>
    </xf>
    <xf numFmtId="164" fontId="6" fillId="4" borderId="0" xfId="2" applyNumberFormat="1" applyFont="1" applyFill="1" applyAlignment="1">
      <alignment wrapText="1"/>
    </xf>
    <xf numFmtId="164" fontId="6" fillId="4" borderId="0" xfId="2" quotePrefix="1" applyNumberFormat="1" applyFont="1" applyFill="1" applyAlignment="1">
      <alignment wrapText="1"/>
    </xf>
    <xf numFmtId="3" fontId="11" fillId="0" borderId="3" xfId="0" applyNumberFormat="1" applyFont="1" applyBorder="1"/>
    <xf numFmtId="0" fontId="12" fillId="0" borderId="3" xfId="0" applyFont="1" applyBorder="1" applyAlignment="1">
      <alignment horizontal="center" vertical="center"/>
    </xf>
    <xf numFmtId="0" fontId="1" fillId="0" borderId="3" xfId="0" applyFont="1" applyBorder="1" applyAlignment="1">
      <alignment horizontal="center" vertical="center"/>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4" borderId="3" xfId="0" applyFont="1" applyFill="1" applyBorder="1" applyAlignment="1">
      <alignment horizontal="center"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xf>
    <xf numFmtId="0" fontId="1" fillId="0" borderId="3" xfId="0" applyFont="1" applyBorder="1"/>
    <xf numFmtId="0" fontId="13" fillId="0" borderId="0" xfId="0" applyFont="1" applyAlignment="1">
      <alignment horizontal="center" vertical="center"/>
    </xf>
    <xf numFmtId="0" fontId="13" fillId="0" borderId="0" xfId="0" applyFont="1"/>
    <xf numFmtId="0" fontId="1" fillId="0" borderId="3" xfId="0" applyFont="1" applyBorder="1" applyAlignment="1">
      <alignment wrapText="1"/>
    </xf>
    <xf numFmtId="0" fontId="1" fillId="0" borderId="3" xfId="0" applyFont="1" applyBorder="1" applyAlignment="1">
      <alignment horizontal="center"/>
    </xf>
    <xf numFmtId="0" fontId="1" fillId="0" borderId="0" xfId="0" applyFont="1" applyAlignment="1">
      <alignment horizontal="center"/>
    </xf>
    <xf numFmtId="164" fontId="1" fillId="3" borderId="3" xfId="0" applyNumberFormat="1" applyFont="1" applyFill="1" applyBorder="1" applyAlignment="1">
      <alignment horizontal="center" vertical="center" wrapText="1"/>
    </xf>
    <xf numFmtId="0" fontId="13" fillId="0" borderId="0" xfId="0" applyFont="1" applyAlignment="1">
      <alignment horizontal="center"/>
    </xf>
    <xf numFmtId="0" fontId="1" fillId="0" borderId="0" xfId="0" applyFont="1" applyAlignment="1">
      <alignment horizontal="center" vertical="center" wrapText="1"/>
    </xf>
    <xf numFmtId="164" fontId="1" fillId="0" borderId="0" xfId="0" applyNumberFormat="1" applyFont="1" applyAlignment="1">
      <alignment horizontal="center" vertical="center" wrapText="1"/>
    </xf>
    <xf numFmtId="0" fontId="1" fillId="3" borderId="3" xfId="0" applyFont="1" applyFill="1" applyBorder="1" applyAlignment="1">
      <alignment wrapText="1"/>
    </xf>
    <xf numFmtId="164" fontId="1" fillId="0" borderId="3" xfId="0" applyNumberFormat="1" applyFont="1" applyBorder="1"/>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0" borderId="14" xfId="0" applyFont="1" applyBorder="1" applyAlignment="1">
      <alignment horizontal="center" vertical="center" wrapText="1"/>
    </xf>
    <xf numFmtId="0" fontId="14" fillId="0" borderId="0" xfId="0" applyFont="1"/>
    <xf numFmtId="3" fontId="6" fillId="0" borderId="0" xfId="0" applyNumberFormat="1" applyFont="1"/>
    <xf numFmtId="10" fontId="6" fillId="0" borderId="0" xfId="0" applyNumberFormat="1" applyFont="1"/>
    <xf numFmtId="1" fontId="6" fillId="0" borderId="0" xfId="0" applyNumberFormat="1" applyFont="1"/>
    <xf numFmtId="3" fontId="15" fillId="0" borderId="0" xfId="0" applyNumberFormat="1" applyFont="1" applyAlignment="1">
      <alignment horizontal="right"/>
    </xf>
    <xf numFmtId="9" fontId="6" fillId="0" borderId="0" xfId="0" applyNumberFormat="1" applyFont="1"/>
    <xf numFmtId="3" fontId="0" fillId="0" borderId="0" xfId="0" applyNumberFormat="1"/>
    <xf numFmtId="0" fontId="6" fillId="0" borderId="0" xfId="3" applyFont="1" applyAlignment="1">
      <alignment wrapText="1"/>
      <protection locked="0"/>
    </xf>
    <xf numFmtId="14" fontId="6" fillId="0" borderId="0" xfId="3" applyNumberFormat="1" applyFont="1" applyAlignment="1">
      <alignment wrapText="1"/>
      <protection locked="0"/>
    </xf>
    <xf numFmtId="1" fontId="6" fillId="0" borderId="0" xfId="3" applyNumberFormat="1" applyFont="1" applyAlignment="1">
      <alignment wrapText="1"/>
      <protection locked="0"/>
    </xf>
    <xf numFmtId="14" fontId="6" fillId="0" borderId="0" xfId="3" applyNumberFormat="1" applyFont="1" applyBorder="1" applyAlignment="1">
      <alignment wrapText="1"/>
      <protection locked="0"/>
    </xf>
    <xf numFmtId="0" fontId="6" fillId="0" borderId="0" xfId="3" applyFont="1" applyBorder="1" applyAlignment="1">
      <alignment wrapText="1"/>
      <protection locked="0"/>
    </xf>
    <xf numFmtId="3" fontId="6" fillId="0" borderId="0" xfId="0" applyNumberFormat="1" applyFont="1" applyBorder="1"/>
    <xf numFmtId="3" fontId="16" fillId="0" borderId="0" xfId="0" applyNumberFormat="1" applyFont="1" applyBorder="1" applyAlignment="1">
      <alignment horizontal="right"/>
    </xf>
    <xf numFmtId="0" fontId="6" fillId="0" borderId="0" xfId="0" applyFont="1" applyFill="1" applyBorder="1" applyAlignment="1">
      <alignment wrapText="1"/>
    </xf>
    <xf numFmtId="0" fontId="15" fillId="0" borderId="0" xfId="0" applyFont="1" applyBorder="1"/>
    <xf numFmtId="1" fontId="6" fillId="0" borderId="0" xfId="0" applyNumberFormat="1" applyFont="1" applyBorder="1" applyAlignment="1">
      <alignment wrapText="1"/>
    </xf>
    <xf numFmtId="1" fontId="6" fillId="0" borderId="0" xfId="3" applyNumberFormat="1" applyFont="1" applyBorder="1" applyAlignment="1">
      <alignment wrapText="1"/>
      <protection locked="0"/>
    </xf>
    <xf numFmtId="3" fontId="2" fillId="0" borderId="3" xfId="0" applyNumberFormat="1" applyFont="1" applyFill="1" applyBorder="1"/>
    <xf numFmtId="10" fontId="2" fillId="0" borderId="3" xfId="0" applyNumberFormat="1" applyFont="1" applyFill="1" applyBorder="1" applyAlignment="1">
      <alignment vertical="center" wrapText="1"/>
    </xf>
    <xf numFmtId="0" fontId="12" fillId="0" borderId="3" xfId="0" applyFont="1" applyBorder="1" applyAlignment="1">
      <alignment horizontal="center" vertical="center" wrapText="1"/>
    </xf>
    <xf numFmtId="10" fontId="11" fillId="0" borderId="3" xfId="0" applyNumberFormat="1" applyFont="1" applyBorder="1" applyAlignment="1">
      <alignment vertical="center" wrapText="1"/>
    </xf>
    <xf numFmtId="0" fontId="2" fillId="0" borderId="3" xfId="0" applyFont="1" applyFill="1" applyBorder="1" applyAlignment="1">
      <alignment vertical="center" wrapText="1"/>
    </xf>
    <xf numFmtId="0" fontId="1" fillId="0" borderId="3" xfId="0" applyFont="1" applyFill="1" applyBorder="1" applyAlignment="1">
      <alignment horizontal="center" vertical="center" wrapText="1"/>
    </xf>
    <xf numFmtId="0" fontId="2" fillId="0" borderId="3" xfId="0" applyFont="1" applyFill="1" applyBorder="1"/>
    <xf numFmtId="3" fontId="2" fillId="0" borderId="3" xfId="0" applyNumberFormat="1" applyFont="1" applyFill="1" applyBorder="1" applyAlignment="1">
      <alignment vertical="center" wrapText="1"/>
    </xf>
    <xf numFmtId="0" fontId="5" fillId="0" borderId="3" xfId="0" applyFont="1" applyFill="1" applyBorder="1" applyAlignment="1">
      <alignment vertical="center" wrapText="1"/>
    </xf>
    <xf numFmtId="167" fontId="2" fillId="0" borderId="3" xfId="0" applyNumberFormat="1" applyFont="1" applyFill="1" applyBorder="1" applyAlignment="1">
      <alignment vertical="center" wrapText="1"/>
    </xf>
    <xf numFmtId="167" fontId="2" fillId="5" borderId="3" xfId="0" applyNumberFormat="1" applyFont="1" applyFill="1" applyBorder="1" applyAlignment="1">
      <alignment vertical="center" wrapText="1"/>
    </xf>
    <xf numFmtId="0" fontId="17" fillId="0" borderId="0" xfId="0" applyFont="1"/>
    <xf numFmtId="0" fontId="0" fillId="0" borderId="0" xfId="0" applyBorder="1"/>
    <xf numFmtId="0" fontId="2" fillId="0" borderId="2" xfId="0" applyFont="1" applyBorder="1" applyAlignment="1">
      <alignment vertical="center" wrapText="1"/>
    </xf>
    <xf numFmtId="5" fontId="2" fillId="0" borderId="2" xfId="0" applyNumberFormat="1" applyFont="1" applyBorder="1" applyAlignment="1">
      <alignment vertical="center" wrapText="1"/>
    </xf>
    <xf numFmtId="0" fontId="2" fillId="0" borderId="2" xfId="0" applyFont="1" applyFill="1" applyBorder="1" applyAlignment="1">
      <alignment vertical="center" wrapText="1"/>
    </xf>
    <xf numFmtId="10" fontId="11" fillId="0" borderId="2" xfId="0" applyNumberFormat="1" applyFont="1" applyBorder="1" applyAlignment="1">
      <alignment vertical="center" wrapText="1"/>
    </xf>
    <xf numFmtId="0" fontId="11" fillId="0" borderId="2" xfId="0" applyFont="1" applyBorder="1" applyAlignment="1">
      <alignment vertical="center" wrapText="1"/>
    </xf>
    <xf numFmtId="167" fontId="1" fillId="0" borderId="2" xfId="0" applyNumberFormat="1" applyFont="1" applyBorder="1" applyAlignment="1">
      <alignment vertical="center" wrapText="1"/>
    </xf>
    <xf numFmtId="167" fontId="1" fillId="4" borderId="2" xfId="0" applyNumberFormat="1" applyFont="1" applyFill="1" applyBorder="1" applyAlignment="1">
      <alignment vertical="center" wrapText="1"/>
    </xf>
    <xf numFmtId="0" fontId="2" fillId="0" borderId="3" xfId="0" applyFont="1" applyBorder="1" applyProtection="1">
      <protection locked="0"/>
    </xf>
    <xf numFmtId="5" fontId="5" fillId="0" borderId="3" xfId="1" applyNumberFormat="1" applyFont="1" applyFill="1" applyBorder="1" applyProtection="1">
      <protection locked="0"/>
    </xf>
    <xf numFmtId="3" fontId="2" fillId="0" borderId="3" xfId="0" applyNumberFormat="1" applyFont="1" applyBorder="1" applyProtection="1">
      <protection locked="0"/>
    </xf>
    <xf numFmtId="0" fontId="2" fillId="0" borderId="3" xfId="0" applyFont="1" applyBorder="1" applyAlignment="1" applyProtection="1">
      <alignment vertical="center" wrapText="1"/>
      <protection locked="0"/>
    </xf>
    <xf numFmtId="169" fontId="2" fillId="0" borderId="3" xfId="0" applyNumberFormat="1" applyFont="1" applyBorder="1" applyAlignment="1" applyProtection="1">
      <alignment vertical="center" wrapText="1"/>
      <protection locked="0"/>
    </xf>
    <xf numFmtId="167" fontId="2" fillId="0" borderId="3" xfId="0" applyNumberFormat="1" applyFont="1" applyBorder="1" applyAlignment="1" applyProtection="1">
      <alignment vertical="center" wrapText="1"/>
      <protection locked="0"/>
    </xf>
    <xf numFmtId="167" fontId="2" fillId="4" borderId="3" xfId="0" applyNumberFormat="1" applyFont="1" applyFill="1" applyBorder="1" applyAlignment="1" applyProtection="1">
      <alignment vertical="center" wrapText="1"/>
      <protection locked="0"/>
    </xf>
    <xf numFmtId="10" fontId="2" fillId="0" borderId="3" xfId="0" applyNumberFormat="1" applyFont="1" applyBorder="1" applyAlignment="1" applyProtection="1">
      <alignment vertical="center" wrapText="1"/>
      <protection locked="0"/>
    </xf>
    <xf numFmtId="3" fontId="2" fillId="0" borderId="3" xfId="0" applyNumberFormat="1" applyFont="1" applyBorder="1" applyAlignment="1" applyProtection="1">
      <alignment vertical="center" wrapText="1"/>
      <protection locked="0"/>
    </xf>
    <xf numFmtId="3" fontId="11" fillId="0" borderId="3" xfId="0" applyNumberFormat="1" applyFont="1" applyBorder="1" applyAlignment="1" applyProtection="1">
      <alignment horizontal="right"/>
      <protection locked="0"/>
    </xf>
    <xf numFmtId="0" fontId="2" fillId="0" borderId="3" xfId="0" applyFont="1" applyFill="1" applyBorder="1" applyProtection="1">
      <protection locked="0"/>
    </xf>
    <xf numFmtId="3" fontId="2" fillId="0" borderId="3" xfId="0" applyNumberFormat="1" applyFont="1" applyFill="1" applyBorder="1" applyProtection="1">
      <protection locked="0"/>
    </xf>
    <xf numFmtId="3" fontId="2" fillId="0" borderId="3" xfId="0" applyNumberFormat="1" applyFont="1" applyFill="1" applyBorder="1" applyAlignment="1" applyProtection="1">
      <alignment vertical="center" wrapText="1"/>
      <protection locked="0"/>
    </xf>
    <xf numFmtId="167" fontId="2" fillId="0" borderId="3" xfId="0" applyNumberFormat="1" applyFont="1" applyFill="1" applyBorder="1" applyAlignment="1" applyProtection="1">
      <alignment vertical="center" wrapText="1"/>
      <protection locked="0"/>
    </xf>
    <xf numFmtId="167" fontId="2" fillId="5" borderId="3" xfId="0" applyNumberFormat="1" applyFont="1" applyFill="1" applyBorder="1" applyAlignment="1" applyProtection="1">
      <alignment vertical="center" wrapText="1"/>
      <protection locked="0"/>
    </xf>
    <xf numFmtId="5" fontId="5" fillId="0" borderId="3" xfId="1" applyNumberFormat="1" applyFont="1" applyBorder="1" applyProtection="1">
      <protection locked="0"/>
    </xf>
    <xf numFmtId="0" fontId="1" fillId="0" borderId="22"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protection locked="0"/>
    </xf>
    <xf numFmtId="0" fontId="1" fillId="4" borderId="22" xfId="0" applyFont="1" applyFill="1" applyBorder="1" applyAlignment="1" applyProtection="1">
      <alignment horizontal="center" vertical="center" wrapText="1"/>
      <protection locked="0"/>
    </xf>
    <xf numFmtId="164" fontId="1" fillId="3" borderId="22" xfId="0" applyNumberFormat="1" applyFont="1" applyFill="1" applyBorder="1" applyAlignment="1" applyProtection="1">
      <alignment horizontal="center" vertical="center" wrapText="1"/>
      <protection locked="0"/>
    </xf>
    <xf numFmtId="0" fontId="11" fillId="0" borderId="3" xfId="0" applyFont="1" applyFill="1" applyBorder="1" applyAlignment="1">
      <alignment vertical="center" wrapText="1"/>
    </xf>
    <xf numFmtId="169" fontId="2" fillId="0" borderId="3" xfId="0" applyNumberFormat="1" applyFont="1" applyBorder="1" applyAlignment="1">
      <alignment vertical="center" wrapText="1"/>
    </xf>
    <xf numFmtId="0" fontId="1" fillId="0" borderId="0" xfId="0" applyFont="1" applyAlignment="1">
      <alignment wrapText="1"/>
    </xf>
    <xf numFmtId="0" fontId="2" fillId="0" borderId="0" xfId="0" applyFont="1" applyAlignment="1">
      <alignment horizontal="center" wrapText="1"/>
    </xf>
    <xf numFmtId="0" fontId="2" fillId="0" borderId="0" xfId="0" applyFont="1" applyAlignment="1">
      <alignment horizontal="right" wrapText="1"/>
    </xf>
    <xf numFmtId="169" fontId="2" fillId="2" borderId="3" xfId="0" applyNumberFormat="1" applyFont="1" applyFill="1" applyBorder="1" applyAlignment="1">
      <alignment vertical="center" wrapText="1"/>
    </xf>
    <xf numFmtId="0" fontId="1" fillId="3" borderId="15" xfId="0" applyFont="1" applyFill="1" applyBorder="1" applyAlignment="1">
      <alignment horizontal="center" vertical="center" wrapText="1"/>
    </xf>
    <xf numFmtId="3" fontId="1" fillId="0" borderId="3" xfId="0" applyNumberFormat="1" applyFont="1" applyBorder="1" applyAlignment="1">
      <alignment vertical="center" wrapText="1"/>
    </xf>
    <xf numFmtId="167" fontId="2" fillId="0" borderId="3" xfId="0" applyNumberFormat="1" applyFont="1" applyBorder="1"/>
    <xf numFmtId="167" fontId="2" fillId="0" borderId="26" xfId="0" applyNumberFormat="1" applyFont="1" applyBorder="1"/>
    <xf numFmtId="167" fontId="2" fillId="0" borderId="31" xfId="0" applyNumberFormat="1" applyFont="1" applyBorder="1"/>
    <xf numFmtId="164" fontId="2" fillId="0" borderId="3" xfId="0" applyNumberFormat="1" applyFont="1" applyBorder="1"/>
    <xf numFmtId="0" fontId="1" fillId="0" borderId="27" xfId="0" applyFont="1" applyBorder="1" applyAlignment="1">
      <alignment wrapText="1"/>
    </xf>
    <xf numFmtId="0" fontId="1" fillId="0" borderId="28" xfId="0" applyFont="1" applyBorder="1"/>
    <xf numFmtId="0" fontId="1" fillId="0" borderId="29" xfId="0" applyFont="1" applyBorder="1"/>
    <xf numFmtId="10" fontId="2" fillId="0" borderId="30" xfId="0" applyNumberFormat="1" applyFont="1" applyBorder="1"/>
    <xf numFmtId="164" fontId="2" fillId="0" borderId="1" xfId="0" applyNumberFormat="1" applyFont="1" applyBorder="1"/>
    <xf numFmtId="167" fontId="2" fillId="0" borderId="33" xfId="0" applyNumberFormat="1" applyFont="1" applyBorder="1"/>
    <xf numFmtId="164" fontId="2" fillId="0" borderId="34" xfId="0" applyNumberFormat="1" applyFont="1" applyBorder="1"/>
    <xf numFmtId="10" fontId="2" fillId="7" borderId="30" xfId="0" applyNumberFormat="1" applyFont="1" applyFill="1" applyBorder="1"/>
    <xf numFmtId="10" fontId="2" fillId="3" borderId="30" xfId="0" applyNumberFormat="1" applyFont="1" applyFill="1" applyBorder="1"/>
    <xf numFmtId="167" fontId="2" fillId="0" borderId="0" xfId="0" applyNumberFormat="1" applyFont="1"/>
    <xf numFmtId="0" fontId="1" fillId="0" borderId="23" xfId="0" applyFont="1" applyBorder="1" applyAlignment="1">
      <alignment wrapText="1"/>
    </xf>
    <xf numFmtId="0" fontId="1" fillId="0" borderId="0" xfId="0" applyFont="1"/>
    <xf numFmtId="164" fontId="1" fillId="0" borderId="0" xfId="0" applyNumberFormat="1" applyFont="1"/>
    <xf numFmtId="164" fontId="0" fillId="0" borderId="0" xfId="0" applyNumberFormat="1" applyAlignment="1">
      <alignment wrapText="1"/>
    </xf>
    <xf numFmtId="164" fontId="0" fillId="0" borderId="0" xfId="0" applyNumberFormat="1"/>
    <xf numFmtId="0" fontId="6" fillId="0" borderId="0" xfId="0" applyFont="1" applyAlignment="1">
      <alignment horizontal="center" wrapText="1"/>
    </xf>
    <xf numFmtId="0" fontId="2" fillId="0" borderId="0" xfId="0" applyFont="1" applyAlignment="1">
      <alignment horizontal="center"/>
    </xf>
    <xf numFmtId="0" fontId="1" fillId="0" borderId="0" xfId="0" applyFont="1" applyAlignment="1">
      <alignment vertical="top" wrapText="1"/>
    </xf>
    <xf numFmtId="0" fontId="1" fillId="0" borderId="36" xfId="0" applyFont="1" applyBorder="1"/>
    <xf numFmtId="10" fontId="2" fillId="7" borderId="6" xfId="0" applyNumberFormat="1" applyFont="1" applyFill="1" applyBorder="1"/>
    <xf numFmtId="10" fontId="2" fillId="0" borderId="6" xfId="0" applyNumberFormat="1" applyFont="1" applyBorder="1"/>
    <xf numFmtId="10" fontId="2" fillId="3" borderId="6" xfId="0" applyNumberFormat="1" applyFont="1" applyFill="1" applyBorder="1"/>
    <xf numFmtId="10" fontId="2" fillId="3" borderId="4" xfId="0" applyNumberFormat="1" applyFont="1" applyFill="1" applyBorder="1"/>
    <xf numFmtId="10" fontId="2" fillId="0" borderId="35" xfId="0" applyNumberFormat="1" applyFont="1" applyBorder="1"/>
    <xf numFmtId="0" fontId="2" fillId="0" borderId="0" xfId="0" applyFont="1" applyAlignment="1">
      <alignment vertical="center"/>
    </xf>
    <xf numFmtId="0" fontId="19" fillId="0" borderId="0" xfId="0" applyFont="1" applyAlignment="1">
      <alignment wrapText="1"/>
    </xf>
    <xf numFmtId="0" fontId="1" fillId="0" borderId="0" xfId="0" applyFont="1" applyAlignment="1">
      <alignment vertical="center"/>
    </xf>
    <xf numFmtId="0" fontId="1" fillId="0" borderId="23" xfId="3" applyFont="1" applyBorder="1" applyAlignment="1">
      <alignment wrapText="1"/>
      <protection locked="0"/>
    </xf>
    <xf numFmtId="0" fontId="1" fillId="0" borderId="24" xfId="3" applyFont="1" applyBorder="1" applyAlignment="1">
      <alignment wrapText="1"/>
      <protection locked="0"/>
    </xf>
    <xf numFmtId="0" fontId="1" fillId="0" borderId="25" xfId="3" applyFont="1" applyBorder="1" applyAlignment="1">
      <alignment wrapText="1"/>
      <protection locked="0"/>
    </xf>
    <xf numFmtId="14" fontId="1" fillId="0" borderId="23" xfId="3" applyNumberFormat="1" applyFont="1" applyBorder="1" applyAlignment="1">
      <alignment wrapText="1"/>
      <protection locked="0"/>
    </xf>
    <xf numFmtId="14" fontId="1" fillId="0" borderId="24" xfId="3" applyNumberFormat="1" applyFont="1" applyBorder="1" applyAlignment="1">
      <alignment wrapText="1"/>
      <protection locked="0"/>
    </xf>
    <xf numFmtId="0" fontId="1" fillId="0" borderId="24" xfId="0" applyFont="1" applyBorder="1" applyAlignment="1">
      <alignment wrapText="1"/>
    </xf>
    <xf numFmtId="0" fontId="1" fillId="0" borderId="25" xfId="0" applyFont="1" applyBorder="1" applyAlignment="1">
      <alignment wrapText="1"/>
    </xf>
    <xf numFmtId="0" fontId="1" fillId="0" borderId="16" xfId="0" applyFont="1" applyBorder="1" applyAlignment="1">
      <alignment horizontal="center" wrapText="1"/>
    </xf>
    <xf numFmtId="0" fontId="1" fillId="0" borderId="20" xfId="0" applyFont="1" applyBorder="1" applyAlignment="1">
      <alignment horizontal="center" wrapText="1"/>
    </xf>
    <xf numFmtId="0" fontId="1" fillId="0" borderId="17" xfId="0" applyFont="1" applyBorder="1" applyAlignment="1">
      <alignment horizontal="center" wrapText="1"/>
    </xf>
    <xf numFmtId="0" fontId="1" fillId="0" borderId="20" xfId="0" applyFont="1" applyBorder="1" applyAlignment="1">
      <alignment horizontal="center"/>
    </xf>
    <xf numFmtId="0" fontId="1" fillId="0" borderId="17" xfId="0" applyFont="1" applyBorder="1" applyAlignment="1">
      <alignment horizontal="center"/>
    </xf>
    <xf numFmtId="0" fontId="1" fillId="0" borderId="27" xfId="0" applyFont="1" applyBorder="1"/>
    <xf numFmtId="1" fontId="2" fillId="0" borderId="3" xfId="0" applyNumberFormat="1" applyFont="1" applyBorder="1"/>
    <xf numFmtId="2" fontId="2" fillId="0" borderId="3" xfId="0" applyNumberFormat="1" applyFont="1" applyBorder="1"/>
    <xf numFmtId="10" fontId="1" fillId="0" borderId="3" xfId="0" applyNumberFormat="1" applyFont="1" applyBorder="1"/>
    <xf numFmtId="1" fontId="2" fillId="0" borderId="3" xfId="0" applyNumberFormat="1" applyFont="1" applyBorder="1" applyAlignment="1">
      <alignment wrapText="1"/>
    </xf>
    <xf numFmtId="2" fontId="2" fillId="0" borderId="3" xfId="0" applyNumberFormat="1" applyFont="1" applyBorder="1" applyAlignment="1">
      <alignment wrapText="1"/>
    </xf>
    <xf numFmtId="10" fontId="2" fillId="0" borderId="3" xfId="0" applyNumberFormat="1" applyFont="1" applyBorder="1" applyAlignment="1">
      <alignment wrapText="1"/>
    </xf>
    <xf numFmtId="1" fontId="2" fillId="0" borderId="3" xfId="3" applyNumberFormat="1" applyFont="1" applyBorder="1" applyAlignment="1">
      <alignment wrapText="1"/>
      <protection locked="0"/>
    </xf>
    <xf numFmtId="2" fontId="2" fillId="0" borderId="3" xfId="3" applyNumberFormat="1" applyFont="1" applyBorder="1" applyAlignment="1">
      <alignment wrapText="1"/>
      <protection locked="0"/>
    </xf>
    <xf numFmtId="10" fontId="2" fillId="0" borderId="3" xfId="3" applyNumberFormat="1" applyFont="1" applyBorder="1" applyAlignment="1">
      <alignment wrapText="1"/>
      <protection locked="0"/>
    </xf>
    <xf numFmtId="10" fontId="2" fillId="0" borderId="3" xfId="0" applyNumberFormat="1" applyFont="1" applyBorder="1"/>
    <xf numFmtId="10" fontId="2" fillId="3" borderId="3" xfId="0" applyNumberFormat="1" applyFont="1" applyFill="1" applyBorder="1" applyAlignment="1">
      <alignment wrapText="1"/>
    </xf>
    <xf numFmtId="10" fontId="2" fillId="6" borderId="3" xfId="0" applyNumberFormat="1" applyFont="1" applyFill="1" applyBorder="1"/>
    <xf numFmtId="10" fontId="2" fillId="3" borderId="3" xfId="3" applyNumberFormat="1" applyFont="1" applyFill="1" applyBorder="1" applyAlignment="1">
      <alignment wrapText="1"/>
      <protection locked="0"/>
    </xf>
    <xf numFmtId="10" fontId="2" fillId="6" borderId="3" xfId="3" applyNumberFormat="1" applyFont="1" applyFill="1" applyBorder="1" applyAlignment="1">
      <alignment wrapText="1"/>
      <protection locked="0"/>
    </xf>
    <xf numFmtId="10" fontId="2" fillId="6" borderId="3" xfId="0" applyNumberFormat="1" applyFont="1" applyFill="1" applyBorder="1" applyAlignment="1">
      <alignment wrapText="1"/>
    </xf>
    <xf numFmtId="3" fontId="5" fillId="0" borderId="3" xfId="0" applyNumberFormat="1" applyFont="1" applyBorder="1" applyAlignment="1">
      <alignment horizontal="right"/>
    </xf>
    <xf numFmtId="10" fontId="2" fillId="7" borderId="3" xfId="0" applyNumberFormat="1" applyFont="1" applyFill="1" applyBorder="1"/>
    <xf numFmtId="1" fontId="2" fillId="0" borderId="18" xfId="3" applyNumberFormat="1" applyFont="1" applyBorder="1" applyAlignment="1">
      <alignment wrapText="1"/>
      <protection locked="0"/>
    </xf>
    <xf numFmtId="2" fontId="2" fillId="0" borderId="21" xfId="0" applyNumberFormat="1" applyFont="1" applyBorder="1"/>
    <xf numFmtId="10" fontId="1" fillId="0" borderId="19" xfId="0" applyNumberFormat="1" applyFont="1" applyBorder="1"/>
    <xf numFmtId="2" fontId="2" fillId="0" borderId="21" xfId="0" applyNumberFormat="1" applyFont="1" applyBorder="1" applyAlignment="1">
      <alignment wrapText="1"/>
    </xf>
    <xf numFmtId="10" fontId="2" fillId="0" borderId="21" xfId="0" applyNumberFormat="1" applyFont="1" applyBorder="1" applyAlignment="1">
      <alignment wrapText="1"/>
    </xf>
    <xf numFmtId="1" fontId="2" fillId="0" borderId="18" xfId="0" applyNumberFormat="1" applyFont="1" applyBorder="1" applyAlignment="1">
      <alignment wrapText="1"/>
    </xf>
    <xf numFmtId="2" fontId="2" fillId="0" borderId="21" xfId="3" applyNumberFormat="1" applyFont="1" applyBorder="1" applyAlignment="1">
      <alignment wrapText="1"/>
      <protection locked="0"/>
    </xf>
    <xf numFmtId="10" fontId="2" fillId="0" borderId="19" xfId="3" applyNumberFormat="1" applyFont="1" applyBorder="1" applyAlignment="1">
      <alignment wrapText="1"/>
      <protection locked="0"/>
    </xf>
    <xf numFmtId="10" fontId="2" fillId="0" borderId="19" xfId="0" applyNumberFormat="1" applyFont="1" applyBorder="1" applyAlignment="1">
      <alignment wrapText="1"/>
    </xf>
    <xf numFmtId="10" fontId="2" fillId="0" borderId="19" xfId="0" applyNumberFormat="1" applyFont="1" applyBorder="1"/>
    <xf numFmtId="167" fontId="2" fillId="0" borderId="18" xfId="0" applyNumberFormat="1" applyFont="1" applyFill="1" applyBorder="1"/>
    <xf numFmtId="164" fontId="2" fillId="0" borderId="21" xfId="0" applyNumberFormat="1" applyFont="1" applyBorder="1"/>
    <xf numFmtId="167" fontId="2" fillId="0" borderId="18" xfId="0" applyNumberFormat="1" applyFont="1" applyBorder="1"/>
    <xf numFmtId="10" fontId="2" fillId="0" borderId="21" xfId="0" applyNumberFormat="1" applyFont="1" applyBorder="1"/>
    <xf numFmtId="10" fontId="2" fillId="0" borderId="4" xfId="0" applyNumberFormat="1" applyFont="1" applyBorder="1"/>
    <xf numFmtId="10" fontId="2" fillId="0" borderId="32" xfId="0" applyNumberFormat="1" applyFont="1" applyBorder="1"/>
    <xf numFmtId="10" fontId="2" fillId="0" borderId="3" xfId="0" applyNumberFormat="1" applyFont="1" applyFill="1" applyBorder="1"/>
    <xf numFmtId="1" fontId="2" fillId="2" borderId="3" xfId="0" applyNumberFormat="1" applyFont="1" applyFill="1" applyBorder="1" applyAlignment="1">
      <alignment vertical="center" wrapText="1"/>
    </xf>
    <xf numFmtId="167" fontId="2" fillId="2" borderId="3" xfId="0" applyNumberFormat="1" applyFont="1" applyFill="1" applyBorder="1" applyAlignment="1">
      <alignment vertical="center" wrapText="1"/>
    </xf>
    <xf numFmtId="167" fontId="2" fillId="2" borderId="3" xfId="0" applyNumberFormat="1" applyFont="1" applyFill="1" applyBorder="1" applyAlignment="1" applyProtection="1">
      <alignment vertical="center" wrapText="1"/>
      <protection locked="0"/>
    </xf>
    <xf numFmtId="0" fontId="0" fillId="0" borderId="0" xfId="0" applyAlignment="1">
      <alignment wrapText="1"/>
    </xf>
    <xf numFmtId="0" fontId="10" fillId="0" borderId="0" xfId="0" applyFont="1" applyAlignment="1">
      <alignment vertical="top" wrapTex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0" borderId="15" xfId="0" applyFont="1" applyBorder="1" applyAlignment="1">
      <alignment horizontal="center" vertical="center"/>
    </xf>
    <xf numFmtId="0" fontId="18" fillId="0" borderId="0" xfId="0" applyFont="1" applyAlignment="1">
      <alignment horizontal="center" wrapText="1"/>
    </xf>
    <xf numFmtId="169" fontId="2" fillId="2" borderId="3" xfId="0" applyNumberFormat="1" applyFont="1" applyFill="1" applyBorder="1" applyAlignment="1" applyProtection="1">
      <alignment vertical="center" wrapText="1"/>
      <protection locked="0"/>
    </xf>
  </cellXfs>
  <cellStyles count="4">
    <cellStyle name="Comma" xfId="1" builtinId="3"/>
    <cellStyle name="Currency" xfId="2" builtinId="4"/>
    <cellStyle name="Default" xfId="3" xr:uid="{14F98B71-CB67-4A2C-9B6C-AC9A997ED55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[1]Graphics!$D$5</c:f>
              <c:strCache>
                <c:ptCount val="1"/>
                <c:pt idx="0">
                  <c:v>Distribute on Pop</c:v>
                </c:pt>
              </c:strCache>
            </c:strRef>
          </c:tx>
          <c:spPr>
            <a:solidFill>
              <a:schemeClr val="accent1"/>
            </a:solidFill>
            <a:ln>
              <a:noFill/>
            </a:ln>
            <a:effectLst/>
          </c:spPr>
          <c:invertIfNegative val="0"/>
          <c:cat>
            <c:strRef>
              <c:f>[1]Graphics!$A$6:$A$17</c:f>
              <c:strCache>
                <c:ptCount val="12"/>
                <c:pt idx="0">
                  <c:v>Ukiah</c:v>
                </c:pt>
                <c:pt idx="1">
                  <c:v>Helix</c:v>
                </c:pt>
                <c:pt idx="2">
                  <c:v>Adams</c:v>
                </c:pt>
                <c:pt idx="3">
                  <c:v>Echo</c:v>
                </c:pt>
                <c:pt idx="4">
                  <c:v>Weston</c:v>
                </c:pt>
                <c:pt idx="5">
                  <c:v>Athena</c:v>
                </c:pt>
                <c:pt idx="6">
                  <c:v>Pilot Rock</c:v>
                </c:pt>
                <c:pt idx="7">
                  <c:v>Stanfield</c:v>
                </c:pt>
                <c:pt idx="8">
                  <c:v>Umatilla</c:v>
                </c:pt>
                <c:pt idx="9">
                  <c:v>Hermiston Rural</c:v>
                </c:pt>
                <c:pt idx="10">
                  <c:v>Milton-Freewater</c:v>
                </c:pt>
                <c:pt idx="11">
                  <c:v>Pendleton</c:v>
                </c:pt>
              </c:strCache>
            </c:strRef>
          </c:cat>
          <c:val>
            <c:numRef>
              <c:f>[1]Graphics!$D$6:$D$17</c:f>
              <c:numCache>
                <c:formatCode>General</c:formatCode>
                <c:ptCount val="12"/>
                <c:pt idx="0">
                  <c:v>7488.7467289648912</c:v>
                </c:pt>
                <c:pt idx="1">
                  <c:v>9226.3317543129542</c:v>
                </c:pt>
                <c:pt idx="2">
                  <c:v>20557.343961864408</c:v>
                </c:pt>
                <c:pt idx="3">
                  <c:v>26284.032636955209</c:v>
                </c:pt>
                <c:pt idx="4">
                  <c:v>28462.132175771792</c:v>
                </c:pt>
                <c:pt idx="5">
                  <c:v>32940.696396035106</c:v>
                </c:pt>
                <c:pt idx="6">
                  <c:v>48799.218880901935</c:v>
                </c:pt>
                <c:pt idx="7">
                  <c:v>69674.712213604726</c:v>
                </c:pt>
                <c:pt idx="8">
                  <c:v>207017.3483016798</c:v>
                </c:pt>
                <c:pt idx="9">
                  <c:v>218523.73928571428</c:v>
                </c:pt>
                <c:pt idx="10">
                  <c:v>289418.03534881963</c:v>
                </c:pt>
                <c:pt idx="11">
                  <c:v>541808.37853775732</c:v>
                </c:pt>
              </c:numCache>
            </c:numRef>
          </c:val>
          <c:extLst>
            <c:ext xmlns:c16="http://schemas.microsoft.com/office/drawing/2014/chart" uri="{C3380CC4-5D6E-409C-BE32-E72D297353CC}">
              <c16:uniqueId val="{00000000-3769-48BA-8EA3-D3AED3521BF0}"/>
            </c:ext>
          </c:extLst>
        </c:ser>
        <c:ser>
          <c:idx val="1"/>
          <c:order val="1"/>
          <c:tx>
            <c:strRef>
              <c:f>[1]Graphics!$E$5</c:f>
              <c:strCache>
                <c:ptCount val="1"/>
                <c:pt idx="0">
                  <c:v>Distribute on Equal shares</c:v>
                </c:pt>
              </c:strCache>
            </c:strRef>
          </c:tx>
          <c:spPr>
            <a:solidFill>
              <a:schemeClr val="accent2"/>
            </a:solidFill>
            <a:ln>
              <a:noFill/>
            </a:ln>
            <a:effectLst/>
          </c:spPr>
          <c:invertIfNegative val="0"/>
          <c:cat>
            <c:strRef>
              <c:f>[1]Graphics!$A$6:$A$17</c:f>
              <c:strCache>
                <c:ptCount val="12"/>
                <c:pt idx="0">
                  <c:v>Ukiah</c:v>
                </c:pt>
                <c:pt idx="1">
                  <c:v>Helix</c:v>
                </c:pt>
                <c:pt idx="2">
                  <c:v>Adams</c:v>
                </c:pt>
                <c:pt idx="3">
                  <c:v>Echo</c:v>
                </c:pt>
                <c:pt idx="4">
                  <c:v>Weston</c:v>
                </c:pt>
                <c:pt idx="5">
                  <c:v>Athena</c:v>
                </c:pt>
                <c:pt idx="6">
                  <c:v>Pilot Rock</c:v>
                </c:pt>
                <c:pt idx="7">
                  <c:v>Stanfield</c:v>
                </c:pt>
                <c:pt idx="8">
                  <c:v>Umatilla</c:v>
                </c:pt>
                <c:pt idx="9">
                  <c:v>Hermiston Rural</c:v>
                </c:pt>
                <c:pt idx="10">
                  <c:v>Milton-Freewater</c:v>
                </c:pt>
                <c:pt idx="11">
                  <c:v>Pendleton</c:v>
                </c:pt>
              </c:strCache>
            </c:strRef>
          </c:cat>
          <c:val>
            <c:numRef>
              <c:f>[1]Graphics!$E$6:$E$17</c:f>
              <c:numCache>
                <c:formatCode>General</c:formatCode>
                <c:ptCount val="12"/>
                <c:pt idx="0">
                  <c:v>125016.5</c:v>
                </c:pt>
                <c:pt idx="1">
                  <c:v>125016.5</c:v>
                </c:pt>
                <c:pt idx="2">
                  <c:v>125016.5</c:v>
                </c:pt>
                <c:pt idx="3">
                  <c:v>125016.5</c:v>
                </c:pt>
                <c:pt idx="4">
                  <c:v>125016.5</c:v>
                </c:pt>
                <c:pt idx="5">
                  <c:v>125016.5</c:v>
                </c:pt>
                <c:pt idx="6">
                  <c:v>125016.5</c:v>
                </c:pt>
                <c:pt idx="7">
                  <c:v>125016.5</c:v>
                </c:pt>
                <c:pt idx="8">
                  <c:v>125016.5</c:v>
                </c:pt>
                <c:pt idx="9">
                  <c:v>125016.5</c:v>
                </c:pt>
                <c:pt idx="10">
                  <c:v>125016.5</c:v>
                </c:pt>
                <c:pt idx="11">
                  <c:v>125016.5</c:v>
                </c:pt>
              </c:numCache>
            </c:numRef>
          </c:val>
          <c:extLst>
            <c:ext xmlns:c16="http://schemas.microsoft.com/office/drawing/2014/chart" uri="{C3380CC4-5D6E-409C-BE32-E72D297353CC}">
              <c16:uniqueId val="{00000001-3769-48BA-8EA3-D3AED3521BF0}"/>
            </c:ext>
          </c:extLst>
        </c:ser>
        <c:ser>
          <c:idx val="2"/>
          <c:order val="2"/>
          <c:tx>
            <c:strRef>
              <c:f>[1]Graphics!$F$5</c:f>
              <c:strCache>
                <c:ptCount val="1"/>
                <c:pt idx="0">
                  <c:v>CSF Method 50:50 (1st option)</c:v>
                </c:pt>
              </c:strCache>
            </c:strRef>
          </c:tx>
          <c:spPr>
            <a:solidFill>
              <a:schemeClr val="accent3"/>
            </a:solidFill>
            <a:ln>
              <a:noFill/>
            </a:ln>
            <a:effectLst/>
          </c:spPr>
          <c:invertIfNegative val="0"/>
          <c:cat>
            <c:strRef>
              <c:f>[1]Graphics!$A$6:$A$17</c:f>
              <c:strCache>
                <c:ptCount val="12"/>
                <c:pt idx="0">
                  <c:v>Ukiah</c:v>
                </c:pt>
                <c:pt idx="1">
                  <c:v>Helix</c:v>
                </c:pt>
                <c:pt idx="2">
                  <c:v>Adams</c:v>
                </c:pt>
                <c:pt idx="3">
                  <c:v>Echo</c:v>
                </c:pt>
                <c:pt idx="4">
                  <c:v>Weston</c:v>
                </c:pt>
                <c:pt idx="5">
                  <c:v>Athena</c:v>
                </c:pt>
                <c:pt idx="6">
                  <c:v>Pilot Rock</c:v>
                </c:pt>
                <c:pt idx="7">
                  <c:v>Stanfield</c:v>
                </c:pt>
                <c:pt idx="8">
                  <c:v>Umatilla</c:v>
                </c:pt>
                <c:pt idx="9">
                  <c:v>Hermiston Rural</c:v>
                </c:pt>
                <c:pt idx="10">
                  <c:v>Milton-Freewater</c:v>
                </c:pt>
                <c:pt idx="11">
                  <c:v>Pendleton</c:v>
                </c:pt>
              </c:strCache>
            </c:strRef>
          </c:cat>
          <c:val>
            <c:numRef>
              <c:f>[1]Graphics!$F$6:$F$17</c:f>
              <c:numCache>
                <c:formatCode>General</c:formatCode>
                <c:ptCount val="12"/>
                <c:pt idx="0">
                  <c:v>66252.52825985926</c:v>
                </c:pt>
                <c:pt idx="1">
                  <c:v>67121.3180412863</c:v>
                </c:pt>
                <c:pt idx="2">
                  <c:v>72786.806334254172</c:v>
                </c:pt>
                <c:pt idx="3">
                  <c:v>75650.141670224984</c:v>
                </c:pt>
                <c:pt idx="4">
                  <c:v>76739.188015957465</c:v>
                </c:pt>
                <c:pt idx="5">
                  <c:v>78978.463086396165</c:v>
                </c:pt>
                <c:pt idx="6">
                  <c:v>86907.699401392252</c:v>
                </c:pt>
                <c:pt idx="7">
                  <c:v>97345.413254311483</c:v>
                </c:pt>
                <c:pt idx="8">
                  <c:v>166016.51541443184</c:v>
                </c:pt>
                <c:pt idx="9">
                  <c:v>171769.6928199697</c:v>
                </c:pt>
                <c:pt idx="10">
                  <c:v>207216.72941534512</c:v>
                </c:pt>
                <c:pt idx="11">
                  <c:v>333411.50428657129</c:v>
                </c:pt>
              </c:numCache>
            </c:numRef>
          </c:val>
          <c:extLst>
            <c:ext xmlns:c16="http://schemas.microsoft.com/office/drawing/2014/chart" uri="{C3380CC4-5D6E-409C-BE32-E72D297353CC}">
              <c16:uniqueId val="{00000002-3769-48BA-8EA3-D3AED3521BF0}"/>
            </c:ext>
          </c:extLst>
        </c:ser>
        <c:ser>
          <c:idx val="3"/>
          <c:order val="3"/>
          <c:tx>
            <c:strRef>
              <c:f>[1]Graphics!$G$5</c:f>
              <c:strCache>
                <c:ptCount val="1"/>
                <c:pt idx="0">
                  <c:v>Current Formula</c:v>
                </c:pt>
              </c:strCache>
            </c:strRef>
          </c:tx>
          <c:spPr>
            <a:solidFill>
              <a:schemeClr val="accent4"/>
            </a:solidFill>
            <a:ln>
              <a:noFill/>
            </a:ln>
            <a:effectLst/>
          </c:spPr>
          <c:invertIfNegative val="0"/>
          <c:cat>
            <c:strRef>
              <c:f>[1]Graphics!$A$6:$A$17</c:f>
              <c:strCache>
                <c:ptCount val="12"/>
                <c:pt idx="0">
                  <c:v>Ukiah</c:v>
                </c:pt>
                <c:pt idx="1">
                  <c:v>Helix</c:v>
                </c:pt>
                <c:pt idx="2">
                  <c:v>Adams</c:v>
                </c:pt>
                <c:pt idx="3">
                  <c:v>Echo</c:v>
                </c:pt>
                <c:pt idx="4">
                  <c:v>Weston</c:v>
                </c:pt>
                <c:pt idx="5">
                  <c:v>Athena</c:v>
                </c:pt>
                <c:pt idx="6">
                  <c:v>Pilot Rock</c:v>
                </c:pt>
                <c:pt idx="7">
                  <c:v>Stanfield</c:v>
                </c:pt>
                <c:pt idx="8">
                  <c:v>Umatilla</c:v>
                </c:pt>
                <c:pt idx="9">
                  <c:v>Hermiston Rural</c:v>
                </c:pt>
                <c:pt idx="10">
                  <c:v>Milton-Freewater</c:v>
                </c:pt>
                <c:pt idx="11">
                  <c:v>Pendleton</c:v>
                </c:pt>
              </c:strCache>
            </c:strRef>
          </c:cat>
          <c:val>
            <c:numRef>
              <c:f>[1]Graphics!$G$6:$G$17</c:f>
              <c:numCache>
                <c:formatCode>General</c:formatCode>
                <c:ptCount val="12"/>
                <c:pt idx="0">
                  <c:v>26265.000207206969</c:v>
                </c:pt>
                <c:pt idx="1">
                  <c:v>26265.000207206969</c:v>
                </c:pt>
                <c:pt idx="2">
                  <c:v>31885.698688787787</c:v>
                </c:pt>
                <c:pt idx="3">
                  <c:v>51300.645964539835</c:v>
                </c:pt>
                <c:pt idx="4">
                  <c:v>51300.645964539835</c:v>
                </c:pt>
                <c:pt idx="5">
                  <c:v>52733.507641656928</c:v>
                </c:pt>
                <c:pt idx="6">
                  <c:v>60735.390514066617</c:v>
                </c:pt>
                <c:pt idx="7">
                  <c:v>82444.300779160971</c:v>
                </c:pt>
                <c:pt idx="8">
                  <c:v>199898.91056776606</c:v>
                </c:pt>
                <c:pt idx="9">
                  <c:v>148764.39444453805</c:v>
                </c:pt>
                <c:pt idx="10">
                  <c:v>233095.64375855538</c:v>
                </c:pt>
                <c:pt idx="11">
                  <c:v>535508.62860440474</c:v>
                </c:pt>
              </c:numCache>
            </c:numRef>
          </c:val>
          <c:extLst>
            <c:ext xmlns:c16="http://schemas.microsoft.com/office/drawing/2014/chart" uri="{C3380CC4-5D6E-409C-BE32-E72D297353CC}">
              <c16:uniqueId val="{00000003-3769-48BA-8EA3-D3AED3521BF0}"/>
            </c:ext>
          </c:extLst>
        </c:ser>
        <c:dLbls>
          <c:showLegendKey val="0"/>
          <c:showVal val="0"/>
          <c:showCatName val="0"/>
          <c:showSerName val="0"/>
          <c:showPercent val="0"/>
          <c:showBubbleSize val="0"/>
        </c:dLbls>
        <c:gapWidth val="219"/>
        <c:overlap val="-27"/>
        <c:axId val="436989568"/>
        <c:axId val="436986288"/>
      </c:barChart>
      <c:catAx>
        <c:axId val="436989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6986288"/>
        <c:crosses val="autoZero"/>
        <c:auto val="1"/>
        <c:lblAlgn val="ctr"/>
        <c:lblOffset val="100"/>
        <c:noMultiLvlLbl val="0"/>
      </c:catAx>
      <c:valAx>
        <c:axId val="436986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6989568"/>
        <c:crosses val="autoZero"/>
        <c:crossBetween val="between"/>
      </c:valAx>
      <c:spPr>
        <a:noFill/>
        <a:ln>
          <a:noFill/>
        </a:ln>
        <a:effectLst/>
      </c:spPr>
    </c:plotArea>
    <c:legend>
      <c:legendPos val="r"/>
      <c:layout>
        <c:manualLayout>
          <c:xMode val="edge"/>
          <c:yMode val="edge"/>
          <c:x val="0.80338248160156467"/>
          <c:y val="0.24433638503520397"/>
          <c:w val="0.1966175183984355"/>
          <c:h val="0.2319603863949996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'N- Graphics'!$C$23</c:f>
              <c:strCache>
                <c:ptCount val="1"/>
                <c:pt idx="0">
                  <c:v>Current Formula</c:v>
                </c:pt>
              </c:strCache>
            </c:strRef>
          </c:tx>
          <c:spPr>
            <a:solidFill>
              <a:schemeClr val="accent2"/>
            </a:solidFill>
            <a:ln>
              <a:noFill/>
            </a:ln>
            <a:effectLst/>
          </c:spPr>
          <c:invertIfNegative val="0"/>
          <c:cat>
            <c:strRef>
              <c:f>'N- Graphics'!$A$24:$A$35</c:f>
              <c:strCache>
                <c:ptCount val="12"/>
                <c:pt idx="0">
                  <c:v>Ukiah</c:v>
                </c:pt>
                <c:pt idx="1">
                  <c:v>Helix</c:v>
                </c:pt>
                <c:pt idx="2">
                  <c:v>Adams</c:v>
                </c:pt>
                <c:pt idx="3">
                  <c:v>Echo</c:v>
                </c:pt>
                <c:pt idx="4">
                  <c:v>Weston</c:v>
                </c:pt>
                <c:pt idx="5">
                  <c:v>Athena</c:v>
                </c:pt>
                <c:pt idx="6">
                  <c:v>Pilot Rock</c:v>
                </c:pt>
                <c:pt idx="7">
                  <c:v>Stanfield</c:v>
                </c:pt>
                <c:pt idx="8">
                  <c:v>Umatilla</c:v>
                </c:pt>
                <c:pt idx="9">
                  <c:v>Hermiston Rural</c:v>
                </c:pt>
                <c:pt idx="10">
                  <c:v>Milton-Freewater</c:v>
                </c:pt>
                <c:pt idx="11">
                  <c:v>Pendleton</c:v>
                </c:pt>
              </c:strCache>
            </c:strRef>
          </c:cat>
          <c:val>
            <c:numRef>
              <c:f>'N- Graphics'!$C$24:$C$35</c:f>
              <c:numCache>
                <c:formatCode>0</c:formatCode>
                <c:ptCount val="12"/>
                <c:pt idx="0">
                  <c:v>26265.000207206969</c:v>
                </c:pt>
                <c:pt idx="1">
                  <c:v>26265.000207206969</c:v>
                </c:pt>
                <c:pt idx="2">
                  <c:v>31885.698688787787</c:v>
                </c:pt>
                <c:pt idx="3">
                  <c:v>51300.645964539835</c:v>
                </c:pt>
                <c:pt idx="4">
                  <c:v>51300.645964539835</c:v>
                </c:pt>
                <c:pt idx="5">
                  <c:v>52733.507641656928</c:v>
                </c:pt>
                <c:pt idx="6">
                  <c:v>60735.390514066617</c:v>
                </c:pt>
                <c:pt idx="7">
                  <c:v>82444.300779160971</c:v>
                </c:pt>
                <c:pt idx="8">
                  <c:v>199898.91056776606</c:v>
                </c:pt>
                <c:pt idx="9">
                  <c:v>148764.39444453805</c:v>
                </c:pt>
                <c:pt idx="10">
                  <c:v>233095.64375855538</c:v>
                </c:pt>
                <c:pt idx="11">
                  <c:v>535508.62860440474</c:v>
                </c:pt>
              </c:numCache>
            </c:numRef>
          </c:val>
          <c:extLst>
            <c:ext xmlns:c16="http://schemas.microsoft.com/office/drawing/2014/chart" uri="{C3380CC4-5D6E-409C-BE32-E72D297353CC}">
              <c16:uniqueId val="{00000001-00EA-4693-90A6-DD4FABFE946B}"/>
            </c:ext>
          </c:extLst>
        </c:ser>
        <c:ser>
          <c:idx val="2"/>
          <c:order val="2"/>
          <c:tx>
            <c:strRef>
              <c:f>'N- Graphics'!$D$23</c:f>
              <c:strCache>
                <c:ptCount val="1"/>
                <c:pt idx="0">
                  <c:v>B-Base Formula </c:v>
                </c:pt>
              </c:strCache>
            </c:strRef>
          </c:tx>
          <c:spPr>
            <a:solidFill>
              <a:schemeClr val="accent3"/>
            </a:solidFill>
            <a:ln>
              <a:noFill/>
            </a:ln>
            <a:effectLst/>
          </c:spPr>
          <c:invertIfNegative val="0"/>
          <c:cat>
            <c:strRef>
              <c:f>'N- Graphics'!$A$24:$A$35</c:f>
              <c:strCache>
                <c:ptCount val="12"/>
                <c:pt idx="0">
                  <c:v>Ukiah</c:v>
                </c:pt>
                <c:pt idx="1">
                  <c:v>Helix</c:v>
                </c:pt>
                <c:pt idx="2">
                  <c:v>Adams</c:v>
                </c:pt>
                <c:pt idx="3">
                  <c:v>Echo</c:v>
                </c:pt>
                <c:pt idx="4">
                  <c:v>Weston</c:v>
                </c:pt>
                <c:pt idx="5">
                  <c:v>Athena</c:v>
                </c:pt>
                <c:pt idx="6">
                  <c:v>Pilot Rock</c:v>
                </c:pt>
                <c:pt idx="7">
                  <c:v>Stanfield</c:v>
                </c:pt>
                <c:pt idx="8">
                  <c:v>Umatilla</c:v>
                </c:pt>
                <c:pt idx="9">
                  <c:v>Hermiston Rural</c:v>
                </c:pt>
                <c:pt idx="10">
                  <c:v>Milton-Freewater</c:v>
                </c:pt>
                <c:pt idx="11">
                  <c:v>Pendleton</c:v>
                </c:pt>
              </c:strCache>
            </c:strRef>
          </c:cat>
          <c:val>
            <c:numRef>
              <c:f>'N- Graphics'!$D$24:$D$35</c:f>
              <c:numCache>
                <c:formatCode>0</c:formatCode>
                <c:ptCount val="12"/>
                <c:pt idx="0">
                  <c:v>26339.993121575299</c:v>
                </c:pt>
                <c:pt idx="1">
                  <c:v>27030.501329522511</c:v>
                </c:pt>
                <c:pt idx="2">
                  <c:v>31533.392882755725</c:v>
                </c:pt>
                <c:pt idx="3">
                  <c:v>47057.55232866625</c:v>
                </c:pt>
                <c:pt idx="4">
                  <c:v>47923.118955529651</c:v>
                </c:pt>
                <c:pt idx="5">
                  <c:v>49702.879547844292</c:v>
                </c:pt>
                <c:pt idx="6">
                  <c:v>56004.982628827274</c:v>
                </c:pt>
                <c:pt idx="7">
                  <c:v>64300.806591911365</c:v>
                </c:pt>
                <c:pt idx="8">
                  <c:v>189480.5485674511</c:v>
                </c:pt>
                <c:pt idx="9">
                  <c:v>200012.21315291975</c:v>
                </c:pt>
                <c:pt idx="10">
                  <c:v>264900.93005777005</c:v>
                </c:pt>
                <c:pt idx="11">
                  <c:v>495910.84817765688</c:v>
                </c:pt>
              </c:numCache>
            </c:numRef>
          </c:val>
          <c:extLst>
            <c:ext xmlns:c16="http://schemas.microsoft.com/office/drawing/2014/chart" uri="{C3380CC4-5D6E-409C-BE32-E72D297353CC}">
              <c16:uniqueId val="{00000003-00EA-4693-90A6-DD4FABFE946B}"/>
            </c:ext>
          </c:extLst>
        </c:ser>
        <c:ser>
          <c:idx val="3"/>
          <c:order val="3"/>
          <c:tx>
            <c:strRef>
              <c:f>'N- Graphics'!$E$23</c:f>
              <c:strCache>
                <c:ptCount val="1"/>
                <c:pt idx="0">
                  <c:v>C-Scenario</c:v>
                </c:pt>
              </c:strCache>
            </c:strRef>
          </c:tx>
          <c:spPr>
            <a:solidFill>
              <a:schemeClr val="accent4"/>
            </a:solidFill>
            <a:ln>
              <a:noFill/>
            </a:ln>
            <a:effectLst/>
          </c:spPr>
          <c:invertIfNegative val="0"/>
          <c:cat>
            <c:strRef>
              <c:f>'N- Graphics'!$A$24:$A$35</c:f>
              <c:strCache>
                <c:ptCount val="12"/>
                <c:pt idx="0">
                  <c:v>Ukiah</c:v>
                </c:pt>
                <c:pt idx="1">
                  <c:v>Helix</c:v>
                </c:pt>
                <c:pt idx="2">
                  <c:v>Adams</c:v>
                </c:pt>
                <c:pt idx="3">
                  <c:v>Echo</c:v>
                </c:pt>
                <c:pt idx="4">
                  <c:v>Weston</c:v>
                </c:pt>
                <c:pt idx="5">
                  <c:v>Athena</c:v>
                </c:pt>
                <c:pt idx="6">
                  <c:v>Pilot Rock</c:v>
                </c:pt>
                <c:pt idx="7">
                  <c:v>Stanfield</c:v>
                </c:pt>
                <c:pt idx="8">
                  <c:v>Umatilla</c:v>
                </c:pt>
                <c:pt idx="9">
                  <c:v>Hermiston Rural</c:v>
                </c:pt>
                <c:pt idx="10">
                  <c:v>Milton-Freewater</c:v>
                </c:pt>
                <c:pt idx="11">
                  <c:v>Pendleton</c:v>
                </c:pt>
              </c:strCache>
            </c:strRef>
          </c:cat>
          <c:val>
            <c:numRef>
              <c:f>'N- Graphics'!$E$24:$E$35</c:f>
              <c:numCache>
                <c:formatCode>0</c:formatCode>
                <c:ptCount val="12"/>
                <c:pt idx="0">
                  <c:v>26847.39487468281</c:v>
                </c:pt>
                <c:pt idx="1">
                  <c:v>27655.63355475627</c:v>
                </c:pt>
                <c:pt idx="2">
                  <c:v>32926.260440305748</c:v>
                </c:pt>
                <c:pt idx="3">
                  <c:v>48838.432991533788</c:v>
                </c:pt>
                <c:pt idx="4">
                  <c:v>49851.577252470946</c:v>
                </c:pt>
                <c:pt idx="5">
                  <c:v>51934.783991251839</c:v>
                </c:pt>
                <c:pt idx="6">
                  <c:v>59311.384902344842</c:v>
                </c:pt>
                <c:pt idx="7">
                  <c:v>69021.632706607721</c:v>
                </c:pt>
                <c:pt idx="8">
                  <c:v>203507.05650711263</c:v>
                </c:pt>
                <c:pt idx="9">
                  <c:v>113171.89546666667</c:v>
                </c:pt>
                <c:pt idx="10">
                  <c:v>284510.515457278</c:v>
                </c:pt>
                <c:pt idx="11">
                  <c:v>532621.19919741899</c:v>
                </c:pt>
              </c:numCache>
            </c:numRef>
          </c:val>
          <c:extLst>
            <c:ext xmlns:c16="http://schemas.microsoft.com/office/drawing/2014/chart" uri="{C3380CC4-5D6E-409C-BE32-E72D297353CC}">
              <c16:uniqueId val="{00000004-00EA-4693-90A6-DD4FABFE946B}"/>
            </c:ext>
          </c:extLst>
        </c:ser>
        <c:ser>
          <c:idx val="4"/>
          <c:order val="4"/>
          <c:tx>
            <c:strRef>
              <c:f>'N- Graphics'!$F$23</c:f>
              <c:strCache>
                <c:ptCount val="1"/>
                <c:pt idx="0">
                  <c:v>D-Scenario</c:v>
                </c:pt>
              </c:strCache>
            </c:strRef>
          </c:tx>
          <c:spPr>
            <a:solidFill>
              <a:schemeClr val="accent5"/>
            </a:solidFill>
            <a:ln>
              <a:noFill/>
            </a:ln>
            <a:effectLst/>
          </c:spPr>
          <c:invertIfNegative val="0"/>
          <c:cat>
            <c:strRef>
              <c:f>'N- Graphics'!$A$24:$A$35</c:f>
              <c:strCache>
                <c:ptCount val="12"/>
                <c:pt idx="0">
                  <c:v>Ukiah</c:v>
                </c:pt>
                <c:pt idx="1">
                  <c:v>Helix</c:v>
                </c:pt>
                <c:pt idx="2">
                  <c:v>Adams</c:v>
                </c:pt>
                <c:pt idx="3">
                  <c:v>Echo</c:v>
                </c:pt>
                <c:pt idx="4">
                  <c:v>Weston</c:v>
                </c:pt>
                <c:pt idx="5">
                  <c:v>Athena</c:v>
                </c:pt>
                <c:pt idx="6">
                  <c:v>Pilot Rock</c:v>
                </c:pt>
                <c:pt idx="7">
                  <c:v>Stanfield</c:v>
                </c:pt>
                <c:pt idx="8">
                  <c:v>Umatilla</c:v>
                </c:pt>
                <c:pt idx="9">
                  <c:v>Hermiston Rural</c:v>
                </c:pt>
                <c:pt idx="10">
                  <c:v>Milton-Freewater</c:v>
                </c:pt>
                <c:pt idx="11">
                  <c:v>Pendleton</c:v>
                </c:pt>
              </c:strCache>
            </c:strRef>
          </c:cat>
          <c:val>
            <c:numRef>
              <c:f>'N- Graphics'!$F$24:$F$35</c:f>
              <c:numCache>
                <c:formatCode>0</c:formatCode>
                <c:ptCount val="12"/>
                <c:pt idx="0">
                  <c:v>26904.927968507556</c:v>
                </c:pt>
                <c:pt idx="1">
                  <c:v>27726.515830481534</c:v>
                </c:pt>
                <c:pt idx="2">
                  <c:v>33084.194423354085</c:v>
                </c:pt>
                <c:pt idx="3">
                  <c:v>49040.362869859862</c:v>
                </c:pt>
                <c:pt idx="4">
                  <c:v>50070.240612334281</c:v>
                </c:pt>
                <c:pt idx="5">
                  <c:v>52187.854397422139</c:v>
                </c:pt>
                <c:pt idx="6">
                  <c:v>59686.29009543814</c:v>
                </c:pt>
                <c:pt idx="7">
                  <c:v>69556.916099153663</c:v>
                </c:pt>
                <c:pt idx="8">
                  <c:v>205097.48931973864</c:v>
                </c:pt>
                <c:pt idx="9">
                  <c:v>103325.27567354284</c:v>
                </c:pt>
                <c:pt idx="10">
                  <c:v>286734.00031862268</c:v>
                </c:pt>
                <c:pt idx="11">
                  <c:v>536783.69973397488</c:v>
                </c:pt>
              </c:numCache>
            </c:numRef>
          </c:val>
          <c:extLst>
            <c:ext xmlns:c16="http://schemas.microsoft.com/office/drawing/2014/chart" uri="{C3380CC4-5D6E-409C-BE32-E72D297353CC}">
              <c16:uniqueId val="{00000005-00EA-4693-90A6-DD4FABFE946B}"/>
            </c:ext>
          </c:extLst>
        </c:ser>
        <c:ser>
          <c:idx val="5"/>
          <c:order val="5"/>
          <c:tx>
            <c:strRef>
              <c:f>'N- Graphics'!$G$23</c:f>
              <c:strCache>
                <c:ptCount val="1"/>
                <c:pt idx="0">
                  <c:v>E-Scenario</c:v>
                </c:pt>
              </c:strCache>
            </c:strRef>
          </c:tx>
          <c:spPr>
            <a:solidFill>
              <a:schemeClr val="accent6"/>
            </a:solidFill>
            <a:ln>
              <a:noFill/>
            </a:ln>
            <a:effectLst/>
          </c:spPr>
          <c:invertIfNegative val="0"/>
          <c:cat>
            <c:strRef>
              <c:f>'N- Graphics'!$A$24:$A$35</c:f>
              <c:strCache>
                <c:ptCount val="12"/>
                <c:pt idx="0">
                  <c:v>Ukiah</c:v>
                </c:pt>
                <c:pt idx="1">
                  <c:v>Helix</c:v>
                </c:pt>
                <c:pt idx="2">
                  <c:v>Adams</c:v>
                </c:pt>
                <c:pt idx="3">
                  <c:v>Echo</c:v>
                </c:pt>
                <c:pt idx="4">
                  <c:v>Weston</c:v>
                </c:pt>
                <c:pt idx="5">
                  <c:v>Athena</c:v>
                </c:pt>
                <c:pt idx="6">
                  <c:v>Pilot Rock</c:v>
                </c:pt>
                <c:pt idx="7">
                  <c:v>Stanfield</c:v>
                </c:pt>
                <c:pt idx="8">
                  <c:v>Umatilla</c:v>
                </c:pt>
                <c:pt idx="9">
                  <c:v>Hermiston Rural</c:v>
                </c:pt>
                <c:pt idx="10">
                  <c:v>Milton-Freewater</c:v>
                </c:pt>
                <c:pt idx="11">
                  <c:v>Pendleton</c:v>
                </c:pt>
              </c:strCache>
            </c:strRef>
          </c:cat>
          <c:val>
            <c:numRef>
              <c:f>'N- Graphics'!$G$24:$G$35</c:f>
              <c:numCache>
                <c:formatCode>0</c:formatCode>
                <c:ptCount val="12"/>
                <c:pt idx="0">
                  <c:v>28328.397681497685</c:v>
                </c:pt>
                <c:pt idx="1">
                  <c:v>29082.110869034728</c:v>
                </c:pt>
                <c:pt idx="2">
                  <c:v>33997.170106072073</c:v>
                </c:pt>
                <c:pt idx="3">
                  <c:v>50759.238921335011</c:v>
                </c:pt>
                <c:pt idx="4">
                  <c:v>51704.034325430737</c:v>
                </c:pt>
                <c:pt idx="5">
                  <c:v>53646.703527110731</c:v>
                </c:pt>
                <c:pt idx="6">
                  <c:v>60525.663323223467</c:v>
                </c:pt>
                <c:pt idx="7">
                  <c:v>69580.837252365716</c:v>
                </c:pt>
                <c:pt idx="8">
                  <c:v>204931.84702516595</c:v>
                </c:pt>
                <c:pt idx="9">
                  <c:v>94789.159486775141</c:v>
                </c:pt>
                <c:pt idx="10">
                  <c:v>286502.42616380338</c:v>
                </c:pt>
                <c:pt idx="11">
                  <c:v>536350.1786606157</c:v>
                </c:pt>
              </c:numCache>
            </c:numRef>
          </c:val>
          <c:extLst>
            <c:ext xmlns:c16="http://schemas.microsoft.com/office/drawing/2014/chart" uri="{C3380CC4-5D6E-409C-BE32-E72D297353CC}">
              <c16:uniqueId val="{00000006-00EA-4693-90A6-DD4FABFE946B}"/>
            </c:ext>
          </c:extLst>
        </c:ser>
        <c:dLbls>
          <c:showLegendKey val="0"/>
          <c:showVal val="0"/>
          <c:showCatName val="0"/>
          <c:showSerName val="0"/>
          <c:showPercent val="0"/>
          <c:showBubbleSize val="0"/>
        </c:dLbls>
        <c:gapWidth val="150"/>
        <c:axId val="445294784"/>
        <c:axId val="445293472"/>
        <c:extLst>
          <c:ext xmlns:c15="http://schemas.microsoft.com/office/drawing/2012/chart" uri="{02D57815-91ED-43cb-92C2-25804820EDAC}">
            <c15:filteredBarSeries>
              <c15:ser>
                <c:idx val="0"/>
                <c:order val="0"/>
                <c:tx>
                  <c:strRef>
                    <c:extLst>
                      <c:ext uri="{02D57815-91ED-43cb-92C2-25804820EDAC}">
                        <c15:formulaRef>
                          <c15:sqref>'N- Graphics'!$B$23</c15:sqref>
                        </c15:formulaRef>
                      </c:ext>
                    </c:extLst>
                    <c:strCache>
                      <c:ptCount val="1"/>
                      <c:pt idx="0">
                        <c:v>Population 2020 Update SORTED</c:v>
                      </c:pt>
                    </c:strCache>
                  </c:strRef>
                </c:tx>
                <c:spPr>
                  <a:solidFill>
                    <a:schemeClr val="accent1"/>
                  </a:solidFill>
                  <a:ln>
                    <a:noFill/>
                  </a:ln>
                  <a:effectLst/>
                </c:spPr>
                <c:invertIfNegative val="0"/>
                <c:cat>
                  <c:strRef>
                    <c:extLst>
                      <c:ext uri="{02D57815-91ED-43cb-92C2-25804820EDAC}">
                        <c15:formulaRef>
                          <c15:sqref>'N- Graphics'!$A$24:$A$35</c15:sqref>
                        </c15:formulaRef>
                      </c:ext>
                    </c:extLst>
                    <c:strCache>
                      <c:ptCount val="12"/>
                      <c:pt idx="0">
                        <c:v>Ukiah</c:v>
                      </c:pt>
                      <c:pt idx="1">
                        <c:v>Helix</c:v>
                      </c:pt>
                      <c:pt idx="2">
                        <c:v>Adams</c:v>
                      </c:pt>
                      <c:pt idx="3">
                        <c:v>Echo</c:v>
                      </c:pt>
                      <c:pt idx="4">
                        <c:v>Weston</c:v>
                      </c:pt>
                      <c:pt idx="5">
                        <c:v>Athena</c:v>
                      </c:pt>
                      <c:pt idx="6">
                        <c:v>Pilot Rock</c:v>
                      </c:pt>
                      <c:pt idx="7">
                        <c:v>Stanfield</c:v>
                      </c:pt>
                      <c:pt idx="8">
                        <c:v>Umatilla</c:v>
                      </c:pt>
                      <c:pt idx="9">
                        <c:v>Hermiston Rural</c:v>
                      </c:pt>
                      <c:pt idx="10">
                        <c:v>Milton-Freewater</c:v>
                      </c:pt>
                      <c:pt idx="11">
                        <c:v>Pendleton</c:v>
                      </c:pt>
                    </c:strCache>
                  </c:strRef>
                </c:cat>
                <c:val>
                  <c:numRef>
                    <c:extLst>
                      <c:ext uri="{02D57815-91ED-43cb-92C2-25804820EDAC}">
                        <c15:formulaRef>
                          <c15:sqref>'N- Graphics'!$B$24:$B$35</c15:sqref>
                        </c15:formulaRef>
                      </c:ext>
                    </c:extLst>
                    <c:numCache>
                      <c:formatCode>#,##0</c:formatCode>
                      <c:ptCount val="12"/>
                      <c:pt idx="0">
                        <c:v>313.08813559322033</c:v>
                      </c:pt>
                      <c:pt idx="1">
                        <c:v>385.73276836158192</c:v>
                      </c:pt>
                      <c:pt idx="2">
                        <c:v>859.45762711864404</c:v>
                      </c:pt>
                      <c:pt idx="3">
                        <c:v>1098.8779661016949</c:v>
                      </c:pt>
                      <c:pt idx="4">
                        <c:v>1189.939548022599</c:v>
                      </c:pt>
                      <c:pt idx="5">
                        <c:v>1377.1785310734463</c:v>
                      </c:pt>
                      <c:pt idx="6">
                        <c:v>2040.1887005649717</c:v>
                      </c:pt>
                      <c:pt idx="7">
                        <c:v>2912.9474576271186</c:v>
                      </c:pt>
                      <c:pt idx="8">
                        <c:v>8654.9429378531077</c:v>
                      </c:pt>
                      <c:pt idx="9">
                        <c:v>9136</c:v>
                      </c:pt>
                      <c:pt idx="10">
                        <c:v>12099.93559322034</c:v>
                      </c:pt>
                      <c:pt idx="11">
                        <c:v>22651.82429378531</c:v>
                      </c:pt>
                    </c:numCache>
                  </c:numRef>
                </c:val>
                <c:extLst>
                  <c:ext xmlns:c16="http://schemas.microsoft.com/office/drawing/2014/chart" uri="{C3380CC4-5D6E-409C-BE32-E72D297353CC}">
                    <c16:uniqueId val="{00000000-00EA-4693-90A6-DD4FABFE946B}"/>
                  </c:ext>
                </c:extLst>
              </c15:ser>
            </c15:filteredBarSeries>
          </c:ext>
        </c:extLst>
      </c:barChart>
      <c:catAx>
        <c:axId val="445294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5293472"/>
        <c:crosses val="autoZero"/>
        <c:auto val="1"/>
        <c:lblAlgn val="ctr"/>
        <c:lblOffset val="100"/>
        <c:noMultiLvlLbl val="0"/>
      </c:catAx>
      <c:valAx>
        <c:axId val="4452934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52947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47</xdr:row>
      <xdr:rowOff>121920</xdr:rowOff>
    </xdr:from>
    <xdr:to>
      <xdr:col>1</xdr:col>
      <xdr:colOff>369569</xdr:colOff>
      <xdr:row>50</xdr:row>
      <xdr:rowOff>26397</xdr:rowOff>
    </xdr:to>
    <xdr:pic>
      <xdr:nvPicPr>
        <xdr:cNvPr id="2" name="Picture 1">
          <a:extLst>
            <a:ext uri="{FF2B5EF4-FFF2-40B4-BE49-F238E27FC236}">
              <a16:creationId xmlns:a16="http://schemas.microsoft.com/office/drawing/2014/main" id="{BFA7E66B-17AF-437F-86DE-D7D617F6E2AD}"/>
            </a:ext>
          </a:extLst>
        </xdr:cNvPr>
        <xdr:cNvPicPr>
          <a:picLocks noChangeAspect="1"/>
        </xdr:cNvPicPr>
      </xdr:nvPicPr>
      <xdr:blipFill>
        <a:blip xmlns:r="http://schemas.openxmlformats.org/officeDocument/2006/relationships" r:embed="rId1"/>
        <a:stretch>
          <a:fillRect/>
        </a:stretch>
      </xdr:blipFill>
      <xdr:spPr>
        <a:xfrm>
          <a:off x="0" y="10685145"/>
          <a:ext cx="1588769" cy="5045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289560</xdr:colOff>
      <xdr:row>0</xdr:row>
      <xdr:rowOff>106680</xdr:rowOff>
    </xdr:from>
    <xdr:to>
      <xdr:col>17</xdr:col>
      <xdr:colOff>240030</xdr:colOff>
      <xdr:row>17</xdr:row>
      <xdr:rowOff>49530</xdr:rowOff>
    </xdr:to>
    <xdr:graphicFrame macro="">
      <xdr:nvGraphicFramePr>
        <xdr:cNvPr id="3" name="Chart 2">
          <a:extLst>
            <a:ext uri="{FF2B5EF4-FFF2-40B4-BE49-F238E27FC236}">
              <a16:creationId xmlns:a16="http://schemas.microsoft.com/office/drawing/2014/main" id="{A30E6077-3AB6-4522-A4E2-104FCD2E3D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274320</xdr:colOff>
      <xdr:row>18</xdr:row>
      <xdr:rowOff>83820</xdr:rowOff>
    </xdr:from>
    <xdr:to>
      <xdr:col>17</xdr:col>
      <xdr:colOff>76200</xdr:colOff>
      <xdr:row>40</xdr:row>
      <xdr:rowOff>297180</xdr:rowOff>
    </xdr:to>
    <xdr:graphicFrame macro="">
      <xdr:nvGraphicFramePr>
        <xdr:cNvPr id="2" name="Chart 1">
          <a:extLst>
            <a:ext uri="{FF2B5EF4-FFF2-40B4-BE49-F238E27FC236}">
              <a16:creationId xmlns:a16="http://schemas.microsoft.com/office/drawing/2014/main" id="{48F8C419-9903-40BC-91F4-2143EEE2AB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director_ucsld_org/Documents/Budget_Taxes/Tax_Other%20Revenue%20Distribution/DistributionReview/ProposalsToBoard/Proposals_12-2020%20with%20Graphics_Ca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sheetName val="A - Foundation"/>
      <sheetName val="B - Option"/>
      <sheetName val="C - Option"/>
      <sheetName val="D - Community Service Fee"/>
      <sheetName val="E - Current Formula"/>
      <sheetName val="Graphics"/>
    </sheetNames>
    <sheetDataSet>
      <sheetData sheetId="0"/>
      <sheetData sheetId="1"/>
      <sheetData sheetId="2"/>
      <sheetData sheetId="3"/>
      <sheetData sheetId="4"/>
      <sheetData sheetId="5"/>
      <sheetData sheetId="6">
        <row r="5">
          <cell r="D5" t="str">
            <v>Distribute on Pop</v>
          </cell>
          <cell r="E5" t="str">
            <v>Distribute on Equal shares</v>
          </cell>
          <cell r="F5" t="str">
            <v>CSF Method 50:50 (1st option)</v>
          </cell>
          <cell r="G5" t="str">
            <v>Current Formula</v>
          </cell>
        </row>
        <row r="6">
          <cell r="A6" t="str">
            <v>Ukiah</v>
          </cell>
          <cell r="D6">
            <v>7488.7467289648912</v>
          </cell>
          <cell r="E6">
            <v>125016.5</v>
          </cell>
          <cell r="F6">
            <v>66252.52825985926</v>
          </cell>
          <cell r="G6">
            <v>26265.000207206969</v>
          </cell>
        </row>
        <row r="7">
          <cell r="A7" t="str">
            <v>Helix</v>
          </cell>
          <cell r="D7">
            <v>9226.3317543129542</v>
          </cell>
          <cell r="E7">
            <v>125016.5</v>
          </cell>
          <cell r="F7">
            <v>67121.3180412863</v>
          </cell>
          <cell r="G7">
            <v>26265.000207206969</v>
          </cell>
        </row>
        <row r="8">
          <cell r="A8" t="str">
            <v>Adams</v>
          </cell>
          <cell r="D8">
            <v>20557.343961864408</v>
          </cell>
          <cell r="E8">
            <v>125016.5</v>
          </cell>
          <cell r="F8">
            <v>72786.806334254172</v>
          </cell>
          <cell r="G8">
            <v>31885.698688787787</v>
          </cell>
        </row>
        <row r="9">
          <cell r="A9" t="str">
            <v>Echo</v>
          </cell>
          <cell r="D9">
            <v>26284.032636955209</v>
          </cell>
          <cell r="E9">
            <v>125016.5</v>
          </cell>
          <cell r="F9">
            <v>75650.141670224984</v>
          </cell>
          <cell r="G9">
            <v>51300.645964539835</v>
          </cell>
        </row>
        <row r="10">
          <cell r="A10" t="str">
            <v>Weston</v>
          </cell>
          <cell r="D10">
            <v>28462.132175771792</v>
          </cell>
          <cell r="E10">
            <v>125016.5</v>
          </cell>
          <cell r="F10">
            <v>76739.188015957465</v>
          </cell>
          <cell r="G10">
            <v>51300.645964539835</v>
          </cell>
        </row>
        <row r="11">
          <cell r="A11" t="str">
            <v>Athena</v>
          </cell>
          <cell r="D11">
            <v>32940.696396035106</v>
          </cell>
          <cell r="E11">
            <v>125016.5</v>
          </cell>
          <cell r="F11">
            <v>78978.463086396165</v>
          </cell>
          <cell r="G11">
            <v>52733.507641656928</v>
          </cell>
        </row>
        <row r="12">
          <cell r="A12" t="str">
            <v>Pilot Rock</v>
          </cell>
          <cell r="D12">
            <v>48799.218880901935</v>
          </cell>
          <cell r="E12">
            <v>125016.5</v>
          </cell>
          <cell r="F12">
            <v>86907.699401392252</v>
          </cell>
          <cell r="G12">
            <v>60735.390514066617</v>
          </cell>
        </row>
        <row r="13">
          <cell r="A13" t="str">
            <v>Stanfield</v>
          </cell>
          <cell r="D13">
            <v>69674.712213604726</v>
          </cell>
          <cell r="E13">
            <v>125016.5</v>
          </cell>
          <cell r="F13">
            <v>97345.413254311483</v>
          </cell>
          <cell r="G13">
            <v>82444.300779160971</v>
          </cell>
        </row>
        <row r="14">
          <cell r="A14" t="str">
            <v>Umatilla</v>
          </cell>
          <cell r="D14">
            <v>207017.3483016798</v>
          </cell>
          <cell r="E14">
            <v>125016.5</v>
          </cell>
          <cell r="F14">
            <v>166016.51541443184</v>
          </cell>
          <cell r="G14">
            <v>199898.91056776606</v>
          </cell>
        </row>
        <row r="15">
          <cell r="A15" t="str">
            <v>Hermiston Rural</v>
          </cell>
          <cell r="D15">
            <v>218523.73928571428</v>
          </cell>
          <cell r="E15">
            <v>125016.5</v>
          </cell>
          <cell r="F15">
            <v>171769.6928199697</v>
          </cell>
          <cell r="G15">
            <v>148764.39444453805</v>
          </cell>
        </row>
        <row r="16">
          <cell r="A16" t="str">
            <v>Milton-Freewater</v>
          </cell>
          <cell r="D16">
            <v>289418.03534881963</v>
          </cell>
          <cell r="E16">
            <v>125016.5</v>
          </cell>
          <cell r="F16">
            <v>207216.72941534512</v>
          </cell>
          <cell r="G16">
            <v>233095.64375855538</v>
          </cell>
        </row>
        <row r="17">
          <cell r="A17" t="str">
            <v>Pendleton</v>
          </cell>
          <cell r="D17">
            <v>541808.37853775732</v>
          </cell>
          <cell r="E17">
            <v>125016.5</v>
          </cell>
          <cell r="F17">
            <v>333411.50428657129</v>
          </cell>
          <cell r="G17">
            <v>535508.62860440474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B81DB-42D5-4BA0-B25D-172F816A13DB}">
  <dimension ref="A1:L85"/>
  <sheetViews>
    <sheetView zoomScale="120" zoomScaleNormal="120" workbookViewId="0">
      <selection activeCell="M15" sqref="M15"/>
    </sheetView>
  </sheetViews>
  <sheetFormatPr defaultColWidth="8.85546875" defaultRowHeight="15" x14ac:dyDescent="0.2"/>
  <cols>
    <col min="1" max="1" width="17.42578125" style="14" customWidth="1"/>
    <col min="2" max="2" width="20.28515625" style="14" customWidth="1"/>
    <col min="3" max="3" width="17.7109375" style="14" customWidth="1"/>
    <col min="4" max="4" width="13.5703125" style="14" customWidth="1"/>
    <col min="5" max="5" width="16.5703125" style="14" customWidth="1"/>
    <col min="6" max="6" width="14.42578125" style="14" customWidth="1"/>
    <col min="7" max="8" width="16.28515625" style="14" customWidth="1"/>
    <col min="9" max="9" width="15.7109375" style="14" customWidth="1"/>
    <col min="10" max="10" width="18.28515625" style="14" customWidth="1"/>
    <col min="11" max="11" width="23.28515625" style="14" customWidth="1"/>
    <col min="12" max="12" width="18.140625" style="14" customWidth="1"/>
    <col min="13" max="13" width="26.28515625" style="14" customWidth="1"/>
    <col min="14" max="16384" width="8.85546875" style="14"/>
  </cols>
  <sheetData>
    <row r="1" spans="1:10" s="112" customFormat="1" ht="159.75" customHeight="1" thickBot="1" x14ac:dyDescent="0.3">
      <c r="A1" s="71" t="s">
        <v>0</v>
      </c>
      <c r="B1" s="72" t="s">
        <v>1</v>
      </c>
      <c r="C1" s="73" t="s">
        <v>51</v>
      </c>
      <c r="D1" s="73" t="s">
        <v>2</v>
      </c>
      <c r="E1" s="74" t="s">
        <v>165</v>
      </c>
      <c r="F1" s="75" t="s">
        <v>60</v>
      </c>
      <c r="G1" s="126" t="s">
        <v>47</v>
      </c>
      <c r="H1" s="126" t="s">
        <v>50</v>
      </c>
      <c r="I1" s="127" t="s">
        <v>48</v>
      </c>
      <c r="J1" s="128" t="s">
        <v>52</v>
      </c>
    </row>
    <row r="2" spans="1:10" x14ac:dyDescent="0.2">
      <c r="A2" s="1">
        <v>97810</v>
      </c>
      <c r="B2" s="2" t="s">
        <v>3</v>
      </c>
      <c r="C2" s="3">
        <v>350</v>
      </c>
      <c r="D2" s="3">
        <v>815</v>
      </c>
      <c r="E2" s="42">
        <v>375</v>
      </c>
      <c r="F2" s="11">
        <f t="shared" ref="F2:F14" si="0">(E2-C2)</f>
        <v>25</v>
      </c>
      <c r="G2" s="68">
        <f>(D2+F2)</f>
        <v>840</v>
      </c>
      <c r="H2" s="69">
        <f>(G2/$G15)</f>
        <v>1.0546139359698682E-2</v>
      </c>
      <c r="I2" s="68">
        <f>((H2*$G20)+G2)</f>
        <v>859.45762711864404</v>
      </c>
      <c r="J2" s="3">
        <v>859.45762711864404</v>
      </c>
    </row>
    <row r="3" spans="1:10" x14ac:dyDescent="0.2">
      <c r="A3" s="4">
        <v>97813</v>
      </c>
      <c r="B3" s="5" t="s">
        <v>4</v>
      </c>
      <c r="C3" s="6">
        <v>1126</v>
      </c>
      <c r="D3" s="6">
        <v>1302</v>
      </c>
      <c r="E3" s="43">
        <v>1170</v>
      </c>
      <c r="F3" s="12">
        <f t="shared" si="0"/>
        <v>44</v>
      </c>
      <c r="G3" s="63">
        <f t="shared" ref="G3:G14" si="1">(D3+F3)</f>
        <v>1346</v>
      </c>
      <c r="H3" s="64">
        <f>(G3/$G15)</f>
        <v>1.6898932831136221E-2</v>
      </c>
      <c r="I3" s="63">
        <f>((H3*$G20)+G3)</f>
        <v>1377.1785310734463</v>
      </c>
      <c r="J3" s="6">
        <v>1377.1785310734463</v>
      </c>
    </row>
    <row r="4" spans="1:10" x14ac:dyDescent="0.2">
      <c r="A4" s="4">
        <v>97826</v>
      </c>
      <c r="B4" s="5" t="s">
        <v>5</v>
      </c>
      <c r="C4" s="6">
        <v>699</v>
      </c>
      <c r="D4" s="6">
        <v>1053</v>
      </c>
      <c r="E4" s="43">
        <v>720</v>
      </c>
      <c r="F4" s="12">
        <f t="shared" si="0"/>
        <v>21</v>
      </c>
      <c r="G4" s="63">
        <f t="shared" si="1"/>
        <v>1074</v>
      </c>
      <c r="H4" s="64">
        <f>(G4/$G15)</f>
        <v>1.3483992467043314E-2</v>
      </c>
      <c r="I4" s="63">
        <f>((H4*$G20)+G4)</f>
        <v>1098.8779661016949</v>
      </c>
      <c r="J4" s="6">
        <v>1098.8779661016949</v>
      </c>
    </row>
    <row r="5" spans="1:10" x14ac:dyDescent="0.2">
      <c r="A5" s="4">
        <v>97835</v>
      </c>
      <c r="B5" s="5" t="s">
        <v>6</v>
      </c>
      <c r="C5" s="6">
        <v>184</v>
      </c>
      <c r="D5" s="6">
        <v>361</v>
      </c>
      <c r="E5" s="43">
        <v>200</v>
      </c>
      <c r="F5" s="12">
        <f t="shared" si="0"/>
        <v>16</v>
      </c>
      <c r="G5" s="63">
        <f t="shared" si="1"/>
        <v>377</v>
      </c>
      <c r="H5" s="64">
        <f>(G5/$G15)</f>
        <v>4.7332077840552414E-3</v>
      </c>
      <c r="I5" s="63">
        <f>((H5*$G20)+G5)</f>
        <v>385.73276836158192</v>
      </c>
      <c r="J5" s="6">
        <v>385.73276836158192</v>
      </c>
    </row>
    <row r="6" spans="1:10" x14ac:dyDescent="0.2">
      <c r="A6" s="4">
        <v>97838</v>
      </c>
      <c r="B6" s="5" t="s">
        <v>7</v>
      </c>
      <c r="C6" s="6">
        <v>16745</v>
      </c>
      <c r="D6" s="6">
        <v>25249</v>
      </c>
      <c r="E6" s="43">
        <v>18775</v>
      </c>
      <c r="F6" s="12">
        <f t="shared" si="0"/>
        <v>2030</v>
      </c>
      <c r="G6" s="63">
        <f t="shared" si="1"/>
        <v>27279</v>
      </c>
      <c r="H6" s="64">
        <f>(G6/$G15)</f>
        <v>0.34248587570621469</v>
      </c>
      <c r="I6" s="63">
        <f>((H6*$G20)+G6)</f>
        <v>27910.886440677965</v>
      </c>
      <c r="J6" s="106">
        <f>(I6-E6)</f>
        <v>9135.8864406779649</v>
      </c>
    </row>
    <row r="7" spans="1:10" x14ac:dyDescent="0.2">
      <c r="A7" s="4">
        <v>97862</v>
      </c>
      <c r="B7" s="5" t="s">
        <v>8</v>
      </c>
      <c r="C7" s="6">
        <v>7050</v>
      </c>
      <c r="D7" s="6">
        <v>11666</v>
      </c>
      <c r="E7" s="43">
        <v>7210</v>
      </c>
      <c r="F7" s="12">
        <f t="shared" si="0"/>
        <v>160</v>
      </c>
      <c r="G7" s="63">
        <f t="shared" si="1"/>
        <v>11826</v>
      </c>
      <c r="H7" s="64">
        <f>(G7/$G15)</f>
        <v>0.14847457627118643</v>
      </c>
      <c r="I7" s="63">
        <f>((H7*$G20)+G7)</f>
        <v>12099.93559322034</v>
      </c>
      <c r="J7" s="6">
        <v>12099.93559322034</v>
      </c>
    </row>
    <row r="8" spans="1:10" x14ac:dyDescent="0.2">
      <c r="A8" s="4">
        <v>97801</v>
      </c>
      <c r="B8" s="5" t="s">
        <v>9</v>
      </c>
      <c r="C8" s="6">
        <v>16612</v>
      </c>
      <c r="D8" s="6">
        <v>21521</v>
      </c>
      <c r="E8" s="43">
        <v>17025</v>
      </c>
      <c r="F8" s="12">
        <f t="shared" si="0"/>
        <v>413</v>
      </c>
      <c r="G8" s="63">
        <f t="shared" si="1"/>
        <v>21934</v>
      </c>
      <c r="H8" s="64">
        <f>(G8/$G15)</f>
        <v>0.27537978656622725</v>
      </c>
      <c r="I8" s="63">
        <f>((H8*$G20)+G8)</f>
        <v>22442.075706214688</v>
      </c>
      <c r="J8" s="6">
        <f>(I8+I9)</f>
        <v>22651.82429378531</v>
      </c>
    </row>
    <row r="9" spans="1:10" x14ac:dyDescent="0.2">
      <c r="A9" s="4">
        <v>97859</v>
      </c>
      <c r="B9" s="5" t="s">
        <v>46</v>
      </c>
      <c r="C9" s="6">
        <v>123</v>
      </c>
      <c r="D9" s="6">
        <v>123</v>
      </c>
      <c r="E9" s="43">
        <v>205</v>
      </c>
      <c r="F9" s="12">
        <f t="shared" si="0"/>
        <v>82</v>
      </c>
      <c r="G9" s="63">
        <f t="shared" si="1"/>
        <v>205</v>
      </c>
      <c r="H9" s="64">
        <f>(G9/$G15)</f>
        <v>2.5737602008788448E-3</v>
      </c>
      <c r="I9" s="63">
        <f>((H9*$G20)+G9)</f>
        <v>209.74858757062148</v>
      </c>
      <c r="J9" s="6">
        <v>0</v>
      </c>
    </row>
    <row r="10" spans="1:10" x14ac:dyDescent="0.2">
      <c r="A10" s="4">
        <v>97868</v>
      </c>
      <c r="B10" s="5" t="s">
        <v>10</v>
      </c>
      <c r="C10" s="6">
        <v>1502</v>
      </c>
      <c r="D10" s="6">
        <v>1991</v>
      </c>
      <c r="E10" s="43">
        <v>1505</v>
      </c>
      <c r="F10" s="12">
        <f t="shared" si="0"/>
        <v>3</v>
      </c>
      <c r="G10" s="63">
        <f t="shared" si="1"/>
        <v>1994</v>
      </c>
      <c r="H10" s="64">
        <f>(G10/$G15)</f>
        <v>2.5034526051475204E-2</v>
      </c>
      <c r="I10" s="63">
        <f>((H10*$G20)+G10)</f>
        <v>2040.1887005649717</v>
      </c>
      <c r="J10" s="6">
        <v>2040.1887005649717</v>
      </c>
    </row>
    <row r="11" spans="1:10" x14ac:dyDescent="0.2">
      <c r="A11" s="4">
        <v>97875</v>
      </c>
      <c r="B11" s="5" t="s">
        <v>11</v>
      </c>
      <c r="C11" s="6">
        <v>2043</v>
      </c>
      <c r="D11" s="6">
        <v>2610</v>
      </c>
      <c r="E11" s="43">
        <v>2280</v>
      </c>
      <c r="F11" s="12">
        <f t="shared" si="0"/>
        <v>237</v>
      </c>
      <c r="G11" s="63">
        <f t="shared" si="1"/>
        <v>2847</v>
      </c>
      <c r="H11" s="64">
        <f>(G11/$G15)</f>
        <v>3.574387947269303E-2</v>
      </c>
      <c r="I11" s="63">
        <f>((H11*$G20)+G11)</f>
        <v>2912.9474576271186</v>
      </c>
      <c r="J11" s="6">
        <v>2912.9474576271186</v>
      </c>
    </row>
    <row r="12" spans="1:10" x14ac:dyDescent="0.2">
      <c r="A12" s="4">
        <v>97880</v>
      </c>
      <c r="B12" s="5" t="s">
        <v>12</v>
      </c>
      <c r="C12" s="6">
        <v>186</v>
      </c>
      <c r="D12" s="6">
        <v>252</v>
      </c>
      <c r="E12" s="43">
        <v>240</v>
      </c>
      <c r="F12" s="12">
        <f t="shared" si="0"/>
        <v>54</v>
      </c>
      <c r="G12" s="63">
        <f t="shared" si="1"/>
        <v>306</v>
      </c>
      <c r="H12" s="64">
        <f>(G12/$G15)</f>
        <v>3.8418079096045198E-3</v>
      </c>
      <c r="I12" s="63">
        <f>((H12*$G20)+G12)</f>
        <v>313.08813559322033</v>
      </c>
      <c r="J12" s="6">
        <v>313.08813559322033</v>
      </c>
    </row>
    <row r="13" spans="1:10" x14ac:dyDescent="0.2">
      <c r="A13" s="4">
        <v>97882</v>
      </c>
      <c r="B13" s="5" t="s">
        <v>13</v>
      </c>
      <c r="C13" s="6">
        <v>6906</v>
      </c>
      <c r="D13" s="6">
        <v>7760</v>
      </c>
      <c r="E13" s="43">
        <v>7605</v>
      </c>
      <c r="F13" s="12">
        <f t="shared" si="0"/>
        <v>699</v>
      </c>
      <c r="G13" s="63">
        <f t="shared" si="1"/>
        <v>8459</v>
      </c>
      <c r="H13" s="64">
        <f>(G13/$G15)</f>
        <v>0.10620213433772756</v>
      </c>
      <c r="I13" s="63">
        <f>((H13*$G20)+G13)</f>
        <v>8654.9429378531077</v>
      </c>
      <c r="J13" s="6">
        <v>8654.9429378531077</v>
      </c>
    </row>
    <row r="14" spans="1:10" ht="15.75" thickBot="1" x14ac:dyDescent="0.25">
      <c r="A14" s="7">
        <v>97886</v>
      </c>
      <c r="B14" s="8" t="s">
        <v>14</v>
      </c>
      <c r="C14" s="9">
        <v>667</v>
      </c>
      <c r="D14" s="9">
        <v>1140</v>
      </c>
      <c r="E14" s="44">
        <v>690</v>
      </c>
      <c r="F14" s="13">
        <f t="shared" si="0"/>
        <v>23</v>
      </c>
      <c r="G14" s="66">
        <f t="shared" si="1"/>
        <v>1163</v>
      </c>
      <c r="H14" s="67">
        <f>(G14/$G15)</f>
        <v>1.4601381042059007E-2</v>
      </c>
      <c r="I14" s="66">
        <f>((H14*$G20)+G14)</f>
        <v>1189.939548022599</v>
      </c>
      <c r="J14" s="9">
        <v>1189.939548022599</v>
      </c>
    </row>
    <row r="15" spans="1:10" x14ac:dyDescent="0.2">
      <c r="A15" s="2"/>
      <c r="B15" s="2"/>
      <c r="C15" s="3">
        <f t="shared" ref="C15:J15" si="2">SUM(C2:C14)</f>
        <v>54193</v>
      </c>
      <c r="D15" s="3">
        <f t="shared" si="2"/>
        <v>75843</v>
      </c>
      <c r="E15" s="45">
        <f t="shared" si="2"/>
        <v>58000</v>
      </c>
      <c r="F15" s="11">
        <f t="shared" si="2"/>
        <v>3807</v>
      </c>
      <c r="G15" s="68">
        <f t="shared" si="2"/>
        <v>79650</v>
      </c>
      <c r="H15" s="69">
        <f t="shared" si="2"/>
        <v>0.99999999999999989</v>
      </c>
      <c r="I15" s="68">
        <f t="shared" si="2"/>
        <v>81494.999999999985</v>
      </c>
      <c r="J15" s="3">
        <f t="shared" si="2"/>
        <v>62720</v>
      </c>
    </row>
    <row r="16" spans="1:10" x14ac:dyDescent="0.2">
      <c r="A16" s="10" t="s">
        <v>53</v>
      </c>
      <c r="B16" s="5" t="s">
        <v>15</v>
      </c>
      <c r="C16" s="6">
        <v>75889</v>
      </c>
      <c r="D16" s="6">
        <v>75889</v>
      </c>
      <c r="E16" s="6">
        <v>81495</v>
      </c>
      <c r="F16" s="48">
        <f>(E16-C16)</f>
        <v>5606</v>
      </c>
      <c r="G16" s="63">
        <v>81495</v>
      </c>
      <c r="H16" s="64"/>
      <c r="I16" s="63">
        <v>81495</v>
      </c>
      <c r="J16" s="6"/>
    </row>
    <row r="17" spans="1:12" x14ac:dyDescent="0.2">
      <c r="A17" s="5" t="s">
        <v>37</v>
      </c>
      <c r="B17" s="5"/>
      <c r="C17" s="6">
        <f>SUM(C2:C14)</f>
        <v>54193</v>
      </c>
      <c r="D17" s="5"/>
      <c r="E17" s="6">
        <f>SUM(E2:E14)</f>
        <v>58000</v>
      </c>
      <c r="F17" s="48">
        <f>(E17-C17)</f>
        <v>3807</v>
      </c>
      <c r="G17" s="65"/>
      <c r="H17" s="64"/>
      <c r="I17" s="63"/>
      <c r="J17" s="6"/>
    </row>
    <row r="18" spans="1:12" x14ac:dyDescent="0.2">
      <c r="A18" s="5" t="s">
        <v>38</v>
      </c>
      <c r="B18" s="5"/>
      <c r="C18" s="6">
        <f>(C16-C17)</f>
        <v>21696</v>
      </c>
      <c r="D18" s="5"/>
      <c r="E18" s="6">
        <f>(E16-E17)</f>
        <v>23495</v>
      </c>
      <c r="F18" s="48">
        <f>(F16-F17)</f>
        <v>1799</v>
      </c>
      <c r="G18" s="65"/>
      <c r="H18" s="64"/>
      <c r="I18" s="63"/>
      <c r="J18" s="6"/>
      <c r="K18" s="47"/>
    </row>
    <row r="19" spans="1:12" x14ac:dyDescent="0.2">
      <c r="A19" s="5" t="s">
        <v>20</v>
      </c>
      <c r="B19" s="5"/>
      <c r="C19" s="6">
        <v>8504</v>
      </c>
      <c r="D19" s="5"/>
      <c r="E19" s="6"/>
      <c r="F19" s="48"/>
      <c r="G19" s="65">
        <f>(G6-E6)</f>
        <v>8504</v>
      </c>
      <c r="H19" s="64"/>
      <c r="I19" s="70">
        <f>(I6-E6)</f>
        <v>9135.8864406779649</v>
      </c>
      <c r="J19" s="6"/>
      <c r="K19" s="47"/>
    </row>
    <row r="20" spans="1:12" ht="90" x14ac:dyDescent="0.2">
      <c r="A20" s="15" t="s">
        <v>49</v>
      </c>
      <c r="B20" s="5"/>
      <c r="C20" s="6"/>
      <c r="D20" s="5">
        <f>(D16-D15)</f>
        <v>46</v>
      </c>
      <c r="E20" s="5"/>
      <c r="F20" s="5"/>
      <c r="G20" s="65">
        <f>(G16-G15)</f>
        <v>1845</v>
      </c>
      <c r="H20" s="65"/>
      <c r="I20" s="63"/>
      <c r="J20" s="6"/>
      <c r="K20" s="46"/>
      <c r="L20" s="47"/>
    </row>
    <row r="21" spans="1:12" ht="90" x14ac:dyDescent="0.2">
      <c r="C21" s="15" t="s">
        <v>40</v>
      </c>
      <c r="D21" s="15"/>
      <c r="G21" s="15"/>
      <c r="H21" s="15"/>
      <c r="K21" s="46"/>
      <c r="L21" s="47"/>
    </row>
    <row r="22" spans="1:12" x14ac:dyDescent="0.2">
      <c r="K22" s="46"/>
      <c r="L22" s="47"/>
    </row>
    <row r="23" spans="1:12" x14ac:dyDescent="0.2">
      <c r="C23" s="16"/>
      <c r="K23" s="46"/>
      <c r="L23" s="47"/>
    </row>
    <row r="24" spans="1:12" x14ac:dyDescent="0.2">
      <c r="K24" s="15"/>
    </row>
    <row r="25" spans="1:12" x14ac:dyDescent="0.2">
      <c r="A25" s="51"/>
      <c r="B25" s="51"/>
      <c r="C25" s="51"/>
      <c r="D25" s="51"/>
      <c r="E25" s="51"/>
      <c r="F25" s="15"/>
    </row>
    <row r="26" spans="1:12" ht="15.75" x14ac:dyDescent="0.25">
      <c r="A26" s="52"/>
      <c r="B26" s="52"/>
      <c r="C26" s="52"/>
      <c r="D26" s="52"/>
      <c r="E26" s="53"/>
      <c r="F26" s="19"/>
    </row>
    <row r="27" spans="1:12" ht="15.75" x14ac:dyDescent="0.25">
      <c r="A27" s="54"/>
      <c r="B27" s="54"/>
      <c r="C27" s="54"/>
      <c r="D27" s="54"/>
      <c r="E27" s="55"/>
      <c r="F27" s="19"/>
    </row>
    <row r="28" spans="1:12" ht="15.75" x14ac:dyDescent="0.25">
      <c r="A28" s="54"/>
      <c r="B28" s="49"/>
      <c r="C28" s="56"/>
      <c r="D28" s="57"/>
      <c r="E28" s="58"/>
      <c r="F28" s="19"/>
    </row>
    <row r="29" spans="1:12" ht="15.75" x14ac:dyDescent="0.25">
      <c r="A29" s="54"/>
      <c r="B29" s="49"/>
      <c r="C29" s="56"/>
      <c r="D29" s="57"/>
      <c r="E29" s="58"/>
      <c r="F29" s="19"/>
    </row>
    <row r="30" spans="1:12" ht="15.75" x14ac:dyDescent="0.25">
      <c r="A30" s="54"/>
      <c r="B30" s="49"/>
      <c r="C30" s="56"/>
      <c r="D30" s="57"/>
      <c r="E30" s="58"/>
      <c r="F30" s="19"/>
    </row>
    <row r="31" spans="1:12" ht="15.75" x14ac:dyDescent="0.25">
      <c r="A31" s="54"/>
      <c r="B31" s="49"/>
      <c r="C31" s="56"/>
      <c r="D31" s="57"/>
      <c r="E31" s="58"/>
      <c r="F31" s="19"/>
    </row>
    <row r="32" spans="1:12" ht="15.75" x14ac:dyDescent="0.25">
      <c r="A32" s="54"/>
      <c r="B32" s="49"/>
      <c r="C32" s="56"/>
      <c r="D32" s="57"/>
      <c r="E32" s="58"/>
      <c r="F32" s="19"/>
    </row>
    <row r="33" spans="1:6" ht="15.75" x14ac:dyDescent="0.25">
      <c r="A33" s="54"/>
      <c r="B33" s="49"/>
      <c r="C33" s="56"/>
      <c r="D33" s="57"/>
      <c r="E33" s="58"/>
      <c r="F33" s="19"/>
    </row>
    <row r="34" spans="1:6" ht="15.75" x14ac:dyDescent="0.25">
      <c r="A34" s="54"/>
      <c r="B34" s="49"/>
      <c r="C34" s="56"/>
      <c r="D34" s="57"/>
      <c r="E34" s="58"/>
      <c r="F34" s="19"/>
    </row>
    <row r="35" spans="1:6" ht="15.75" x14ac:dyDescent="0.25">
      <c r="A35" s="54"/>
      <c r="B35" s="49"/>
      <c r="C35" s="56"/>
      <c r="D35" s="57"/>
      <c r="E35" s="58"/>
      <c r="F35" s="19"/>
    </row>
    <row r="36" spans="1:6" ht="15.75" x14ac:dyDescent="0.25">
      <c r="A36" s="54"/>
      <c r="B36" s="49"/>
      <c r="C36" s="56"/>
      <c r="D36" s="57"/>
      <c r="E36" s="58"/>
      <c r="F36" s="19"/>
    </row>
    <row r="37" spans="1:6" ht="15.75" x14ac:dyDescent="0.25">
      <c r="A37" s="54"/>
      <c r="B37" s="49"/>
      <c r="C37" s="56"/>
      <c r="D37" s="57"/>
      <c r="E37" s="58"/>
      <c r="F37" s="19"/>
    </row>
    <row r="38" spans="1:6" ht="15.75" x14ac:dyDescent="0.25">
      <c r="A38" s="54"/>
      <c r="B38" s="49"/>
      <c r="C38" s="56"/>
      <c r="D38" s="57"/>
      <c r="E38" s="58"/>
      <c r="F38" s="19"/>
    </row>
    <row r="39" spans="1:6" ht="15.75" x14ac:dyDescent="0.25">
      <c r="A39" s="54"/>
      <c r="B39" s="49"/>
      <c r="C39" s="56"/>
      <c r="D39" s="57"/>
      <c r="E39" s="58"/>
      <c r="F39" s="19"/>
    </row>
    <row r="40" spans="1:6" ht="15.75" x14ac:dyDescent="0.25">
      <c r="A40" s="54"/>
      <c r="B40" s="56"/>
      <c r="C40" s="56"/>
      <c r="D40" s="57"/>
      <c r="E40" s="58"/>
      <c r="F40" s="19"/>
    </row>
    <row r="41" spans="1:6" ht="15.75" x14ac:dyDescent="0.25">
      <c r="A41" s="54"/>
      <c r="B41" s="54"/>
      <c r="C41" s="54"/>
      <c r="D41" s="54"/>
      <c r="E41" s="55"/>
      <c r="F41" s="19"/>
    </row>
    <row r="42" spans="1:6" ht="15.75" x14ac:dyDescent="0.25">
      <c r="A42" s="59"/>
      <c r="B42" s="56"/>
      <c r="C42" s="54"/>
      <c r="D42" s="54"/>
      <c r="E42" s="55"/>
      <c r="F42" s="19"/>
    </row>
    <row r="43" spans="1:6" ht="15.75" x14ac:dyDescent="0.25">
      <c r="A43" s="54"/>
      <c r="B43" s="56"/>
      <c r="C43" s="54"/>
      <c r="D43" s="54"/>
      <c r="E43" s="55"/>
      <c r="F43" s="19"/>
    </row>
    <row r="44" spans="1:6" ht="15.75" x14ac:dyDescent="0.25">
      <c r="A44" s="54"/>
      <c r="B44" s="56"/>
      <c r="C44" s="54"/>
      <c r="D44" s="54"/>
      <c r="E44" s="55"/>
      <c r="F44" s="19"/>
    </row>
    <row r="45" spans="1:6" ht="15.75" x14ac:dyDescent="0.25">
      <c r="A45" s="54"/>
      <c r="B45" s="56"/>
      <c r="C45" s="54"/>
      <c r="D45" s="54"/>
      <c r="E45" s="55"/>
      <c r="F45" s="19"/>
    </row>
    <row r="51" spans="2:6" ht="15.75" x14ac:dyDescent="0.2">
      <c r="B51" s="60"/>
      <c r="C51" s="61"/>
      <c r="D51" s="61"/>
      <c r="E51" s="51"/>
      <c r="F51" s="51"/>
    </row>
    <row r="52" spans="2:6" x14ac:dyDescent="0.2">
      <c r="B52" s="47"/>
      <c r="C52" s="49"/>
      <c r="D52" s="49"/>
      <c r="E52" s="49"/>
      <c r="F52" s="50"/>
    </row>
    <row r="53" spans="2:6" x14ac:dyDescent="0.2">
      <c r="B53" s="47"/>
      <c r="C53" s="49"/>
      <c r="D53" s="49"/>
      <c r="E53" s="49"/>
      <c r="F53" s="50"/>
    </row>
    <row r="54" spans="2:6" x14ac:dyDescent="0.2">
      <c r="B54" s="47"/>
      <c r="C54" s="49"/>
      <c r="D54" s="49"/>
      <c r="E54" s="49"/>
      <c r="F54" s="50"/>
    </row>
    <row r="55" spans="2:6" x14ac:dyDescent="0.2">
      <c r="B55" s="47"/>
      <c r="C55" s="49"/>
      <c r="D55" s="49"/>
      <c r="E55" s="49"/>
      <c r="F55" s="50"/>
    </row>
    <row r="56" spans="2:6" x14ac:dyDescent="0.2">
      <c r="B56" s="47"/>
      <c r="C56" s="49"/>
      <c r="D56" s="49"/>
      <c r="E56" s="49"/>
      <c r="F56" s="50"/>
    </row>
    <row r="57" spans="2:6" x14ac:dyDescent="0.2">
      <c r="B57" s="47"/>
      <c r="C57" s="49"/>
      <c r="D57" s="49"/>
      <c r="E57" s="49"/>
      <c r="F57" s="50"/>
    </row>
    <row r="58" spans="2:6" x14ac:dyDescent="0.2">
      <c r="B58" s="47"/>
      <c r="C58" s="49"/>
      <c r="D58" s="49"/>
      <c r="E58" s="49"/>
      <c r="F58" s="50"/>
    </row>
    <row r="59" spans="2:6" x14ac:dyDescent="0.2">
      <c r="B59" s="47"/>
      <c r="C59" s="49"/>
      <c r="D59" s="49"/>
      <c r="E59" s="49"/>
      <c r="F59" s="50"/>
    </row>
    <row r="60" spans="2:6" x14ac:dyDescent="0.2">
      <c r="B60" s="47"/>
      <c r="C60" s="49"/>
      <c r="D60" s="49"/>
      <c r="E60" s="49"/>
      <c r="F60" s="50"/>
    </row>
    <row r="61" spans="2:6" x14ac:dyDescent="0.2">
      <c r="B61" s="47"/>
      <c r="C61" s="49"/>
      <c r="D61" s="49"/>
      <c r="E61" s="49"/>
      <c r="F61" s="50"/>
    </row>
    <row r="62" spans="2:6" x14ac:dyDescent="0.2">
      <c r="B62" s="47"/>
      <c r="C62" s="49"/>
      <c r="D62" s="49"/>
      <c r="E62" s="49"/>
      <c r="F62" s="50"/>
    </row>
    <row r="63" spans="2:6" x14ac:dyDescent="0.2">
      <c r="B63" s="47"/>
      <c r="C63" s="49"/>
      <c r="D63" s="49"/>
      <c r="E63" s="49"/>
      <c r="F63" s="50"/>
    </row>
    <row r="64" spans="2:6" x14ac:dyDescent="0.2">
      <c r="B64" s="47"/>
      <c r="C64" s="49"/>
      <c r="D64" s="49"/>
      <c r="E64" s="49"/>
      <c r="F64" s="50"/>
    </row>
    <row r="65" spans="2:6" x14ac:dyDescent="0.2">
      <c r="B65" s="47"/>
      <c r="C65" s="49"/>
      <c r="D65" s="47"/>
      <c r="E65" s="47"/>
      <c r="F65" s="47"/>
    </row>
    <row r="66" spans="2:6" x14ac:dyDescent="0.2">
      <c r="B66" s="47"/>
      <c r="C66" s="47"/>
      <c r="D66" s="47"/>
      <c r="E66" s="47"/>
      <c r="F66" s="47"/>
    </row>
    <row r="67" spans="2:6" x14ac:dyDescent="0.2">
      <c r="B67" s="47"/>
      <c r="C67" s="47"/>
      <c r="D67" s="47"/>
      <c r="E67" s="47"/>
      <c r="F67" s="47"/>
    </row>
    <row r="68" spans="2:6" ht="15.75" x14ac:dyDescent="0.2">
      <c r="B68" s="60"/>
      <c r="C68" s="61"/>
      <c r="D68" s="61"/>
      <c r="E68" s="51"/>
      <c r="F68" s="51"/>
    </row>
    <row r="69" spans="2:6" x14ac:dyDescent="0.2">
      <c r="B69" s="47"/>
      <c r="C69" s="49"/>
      <c r="D69" s="49"/>
      <c r="E69" s="49"/>
      <c r="F69" s="50"/>
    </row>
    <row r="70" spans="2:6" x14ac:dyDescent="0.2">
      <c r="B70" s="47"/>
      <c r="C70" s="49"/>
      <c r="D70" s="49"/>
      <c r="E70" s="49"/>
      <c r="F70" s="50"/>
    </row>
    <row r="71" spans="2:6" x14ac:dyDescent="0.2">
      <c r="B71" s="47"/>
      <c r="C71" s="49"/>
      <c r="D71" s="49"/>
      <c r="E71" s="49"/>
      <c r="F71" s="50"/>
    </row>
    <row r="72" spans="2:6" x14ac:dyDescent="0.2">
      <c r="B72" s="47"/>
      <c r="C72" s="49"/>
      <c r="D72" s="49"/>
      <c r="E72" s="49"/>
      <c r="F72" s="50"/>
    </row>
    <row r="73" spans="2:6" x14ac:dyDescent="0.2">
      <c r="B73" s="47"/>
      <c r="C73" s="49"/>
      <c r="D73" s="49"/>
      <c r="E73" s="62"/>
      <c r="F73" s="50"/>
    </row>
    <row r="74" spans="2:6" x14ac:dyDescent="0.2">
      <c r="B74" s="47"/>
      <c r="C74" s="49"/>
      <c r="D74" s="49"/>
      <c r="E74" s="49"/>
      <c r="F74" s="50"/>
    </row>
    <row r="75" spans="2:6" x14ac:dyDescent="0.2">
      <c r="B75" s="47"/>
      <c r="C75" s="49"/>
      <c r="D75" s="49"/>
      <c r="E75" s="49"/>
      <c r="F75" s="50"/>
    </row>
    <row r="76" spans="2:6" x14ac:dyDescent="0.2">
      <c r="B76" s="47"/>
      <c r="C76" s="49"/>
      <c r="D76" s="49"/>
      <c r="E76" s="49"/>
      <c r="F76" s="50"/>
    </row>
    <row r="77" spans="2:6" x14ac:dyDescent="0.2">
      <c r="B77" s="47"/>
      <c r="C77" s="49"/>
      <c r="D77" s="49"/>
      <c r="E77" s="49"/>
      <c r="F77" s="50"/>
    </row>
    <row r="78" spans="2:6" x14ac:dyDescent="0.2">
      <c r="B78" s="47"/>
      <c r="C78" s="49"/>
      <c r="D78" s="49"/>
      <c r="E78" s="49"/>
      <c r="F78" s="50"/>
    </row>
    <row r="79" spans="2:6" x14ac:dyDescent="0.2">
      <c r="B79" s="47"/>
      <c r="C79" s="49"/>
      <c r="D79" s="49"/>
      <c r="E79" s="49"/>
      <c r="F79" s="50"/>
    </row>
    <row r="80" spans="2:6" x14ac:dyDescent="0.2">
      <c r="B80" s="47"/>
      <c r="C80" s="49"/>
      <c r="D80" s="49"/>
      <c r="E80" s="49"/>
      <c r="F80" s="50"/>
    </row>
    <row r="81" spans="1:6" x14ac:dyDescent="0.2">
      <c r="B81" s="47"/>
      <c r="C81" s="49"/>
      <c r="D81" s="49"/>
      <c r="E81" s="49"/>
      <c r="F81" s="50"/>
    </row>
    <row r="82" spans="1:6" x14ac:dyDescent="0.2">
      <c r="B82" s="47"/>
      <c r="C82" s="49"/>
      <c r="D82" s="47"/>
      <c r="E82" s="47"/>
      <c r="F82" s="47"/>
    </row>
    <row r="85" spans="1:6" ht="409.6" customHeight="1" x14ac:dyDescent="0.2">
      <c r="A85" s="277" t="s">
        <v>45</v>
      </c>
      <c r="B85" s="277"/>
      <c r="C85" s="277"/>
    </row>
  </sheetData>
  <mergeCells count="1">
    <mergeCell ref="A85:C85"/>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C1F3A-7D96-4432-9A33-5BB115E5A087}">
  <dimension ref="A1:O16"/>
  <sheetViews>
    <sheetView workbookViewId="0">
      <selection activeCell="K16" sqref="K16"/>
    </sheetView>
  </sheetViews>
  <sheetFormatPr defaultRowHeight="15" x14ac:dyDescent="0.25"/>
  <cols>
    <col min="1" max="1" width="21.140625" customWidth="1"/>
    <col min="2" max="2" width="14.7109375" customWidth="1"/>
    <col min="3" max="3" width="13.28515625" customWidth="1"/>
    <col min="4" max="4" width="11.85546875" customWidth="1"/>
    <col min="5" max="6" width="12.28515625" customWidth="1"/>
    <col min="7" max="7" width="14.42578125" customWidth="1"/>
    <col min="8" max="8" width="15.85546875" customWidth="1"/>
    <col min="9" max="9" width="12.7109375" customWidth="1"/>
    <col min="10" max="10" width="13.140625" customWidth="1"/>
    <col min="11" max="11" width="12.7109375" customWidth="1"/>
    <col min="12" max="12" width="20.42578125" customWidth="1"/>
    <col min="13" max="13" width="20" customWidth="1"/>
    <col min="14" max="14" width="18.5703125" customWidth="1"/>
    <col min="15" max="15" width="16.140625" customWidth="1"/>
    <col min="18" max="18" width="22.28515625" customWidth="1"/>
    <col min="19" max="19" width="15" customWidth="1"/>
  </cols>
  <sheetData>
    <row r="1" spans="1:15" s="115" customFormat="1" ht="31.5" x14ac:dyDescent="0.25">
      <c r="A1" s="107"/>
      <c r="B1" s="108"/>
      <c r="C1" s="109" t="s">
        <v>58</v>
      </c>
      <c r="D1" s="110" t="s">
        <v>59</v>
      </c>
      <c r="E1" s="278" t="s">
        <v>25</v>
      </c>
      <c r="F1" s="279"/>
      <c r="G1" s="279"/>
      <c r="H1" s="279"/>
      <c r="I1" s="280"/>
      <c r="J1" s="109" t="s">
        <v>54</v>
      </c>
      <c r="K1" s="193" t="s">
        <v>147</v>
      </c>
      <c r="L1" s="109" t="s">
        <v>55</v>
      </c>
      <c r="M1" s="111" t="s">
        <v>56</v>
      </c>
      <c r="N1" s="278" t="s">
        <v>41</v>
      </c>
      <c r="O1" s="280"/>
    </row>
    <row r="2" spans="1:15" s="115" customFormat="1" ht="92.25" customHeight="1" x14ac:dyDescent="0.25">
      <c r="A2" s="110"/>
      <c r="B2" s="110" t="s">
        <v>160</v>
      </c>
      <c r="C2" s="108"/>
      <c r="D2" s="112"/>
      <c r="E2" s="110" t="s">
        <v>27</v>
      </c>
      <c r="F2" s="110" t="s">
        <v>28</v>
      </c>
      <c r="G2" s="110" t="s">
        <v>29</v>
      </c>
      <c r="H2" s="110" t="s">
        <v>30</v>
      </c>
      <c r="I2" s="110" t="s">
        <v>31</v>
      </c>
      <c r="J2" s="110" t="s">
        <v>19</v>
      </c>
      <c r="K2" s="110" t="s">
        <v>148</v>
      </c>
      <c r="L2" s="110"/>
      <c r="M2" s="111"/>
      <c r="N2" s="110" t="s">
        <v>44</v>
      </c>
      <c r="O2" s="120" t="s">
        <v>43</v>
      </c>
    </row>
    <row r="3" spans="1:15" ht="15.75" x14ac:dyDescent="0.25">
      <c r="A3" s="5" t="s">
        <v>3</v>
      </c>
      <c r="B3" s="84"/>
      <c r="C3" s="6">
        <v>859.45762711864404</v>
      </c>
      <c r="D3" s="79">
        <v>1</v>
      </c>
      <c r="E3" s="79">
        <v>0.5</v>
      </c>
      <c r="F3" s="80">
        <v>41600</v>
      </c>
      <c r="G3" s="80">
        <f>(E3)*(F3)</f>
        <v>20800</v>
      </c>
      <c r="H3" s="80">
        <v>2700</v>
      </c>
      <c r="I3" s="80">
        <f>SUM(G3+H3)*0.1</f>
        <v>2350</v>
      </c>
      <c r="J3" s="80">
        <f t="shared" ref="J3:J14" si="0">SUM(G3+H3+I3)</f>
        <v>25850</v>
      </c>
      <c r="K3" s="80">
        <v>3751</v>
      </c>
      <c r="L3" s="80">
        <f>($L$15*O3)</f>
        <v>8223.4968715756604</v>
      </c>
      <c r="M3" s="97">
        <f t="shared" ref="M3:M15" si="1">SUM(J3:L3)</f>
        <v>37824.496871575662</v>
      </c>
      <c r="N3" s="6">
        <v>859.45762711864404</v>
      </c>
      <c r="O3" s="85">
        <f>(N3/$N$15)</f>
        <v>1.3703062356635412E-2</v>
      </c>
    </row>
    <row r="4" spans="1:15" ht="15.75" x14ac:dyDescent="0.25">
      <c r="A4" s="5" t="s">
        <v>4</v>
      </c>
      <c r="B4" s="84"/>
      <c r="C4" s="6">
        <v>1377.1785310734463</v>
      </c>
      <c r="D4" s="79">
        <v>2</v>
      </c>
      <c r="E4" s="79">
        <v>0.8</v>
      </c>
      <c r="F4" s="80">
        <v>41600</v>
      </c>
      <c r="G4" s="80">
        <f t="shared" ref="G4:G14" si="2">(E4)*(F4)</f>
        <v>33280</v>
      </c>
      <c r="H4" s="80">
        <v>3200</v>
      </c>
      <c r="I4" s="80">
        <f t="shared" ref="I4:I14" si="3">SUM(G4+H4)*0.1</f>
        <v>3648</v>
      </c>
      <c r="J4" s="80">
        <f t="shared" si="0"/>
        <v>40128</v>
      </c>
      <c r="K4" s="80">
        <v>3751</v>
      </c>
      <c r="L4" s="80">
        <f t="shared" ref="L4:L14" si="4">($L$15*O4)</f>
        <v>13177.17474897719</v>
      </c>
      <c r="M4" s="97">
        <f t="shared" si="1"/>
        <v>57056.174748977188</v>
      </c>
      <c r="N4" s="6">
        <v>1377.1785310734463</v>
      </c>
      <c r="O4" s="85">
        <f>(N4/$N$15)</f>
        <v>2.1957526109561028E-2</v>
      </c>
    </row>
    <row r="5" spans="1:15" ht="15.75" x14ac:dyDescent="0.25">
      <c r="A5" s="5" t="s">
        <v>5</v>
      </c>
      <c r="B5" s="84"/>
      <c r="C5" s="6">
        <v>1098.8779661016949</v>
      </c>
      <c r="D5" s="87">
        <v>2</v>
      </c>
      <c r="E5" s="79">
        <v>0.8</v>
      </c>
      <c r="F5" s="80">
        <v>41600</v>
      </c>
      <c r="G5" s="80">
        <f t="shared" si="2"/>
        <v>33280</v>
      </c>
      <c r="H5" s="80">
        <v>2700</v>
      </c>
      <c r="I5" s="80">
        <f t="shared" si="3"/>
        <v>3598</v>
      </c>
      <c r="J5" s="80">
        <f t="shared" si="0"/>
        <v>39578</v>
      </c>
      <c r="K5" s="80">
        <v>3751</v>
      </c>
      <c r="L5" s="80">
        <f t="shared" si="4"/>
        <v>10514.328142943168</v>
      </c>
      <c r="M5" s="97">
        <f t="shared" si="1"/>
        <v>53843.328142943166</v>
      </c>
      <c r="N5" s="6">
        <v>1098.8779661016949</v>
      </c>
      <c r="O5" s="85">
        <f t="shared" ref="O5:O14" si="5">(N5/$N$15)</f>
        <v>1.7520344013126708E-2</v>
      </c>
    </row>
    <row r="6" spans="1:15" ht="15.75" x14ac:dyDescent="0.25">
      <c r="A6" s="5" t="s">
        <v>6</v>
      </c>
      <c r="B6" s="84"/>
      <c r="C6" s="6">
        <v>385.73276836158192</v>
      </c>
      <c r="D6" s="79">
        <v>1</v>
      </c>
      <c r="E6" s="79">
        <v>0.5</v>
      </c>
      <c r="F6" s="80">
        <v>41600</v>
      </c>
      <c r="G6" s="80">
        <f t="shared" si="2"/>
        <v>20800</v>
      </c>
      <c r="H6" s="80">
        <v>2700</v>
      </c>
      <c r="I6" s="80">
        <f t="shared" si="3"/>
        <v>2350</v>
      </c>
      <c r="J6" s="80">
        <f t="shared" si="0"/>
        <v>25850</v>
      </c>
      <c r="K6" s="80">
        <v>3751</v>
      </c>
      <c r="L6" s="80">
        <f t="shared" si="4"/>
        <v>3690.7837149809811</v>
      </c>
      <c r="M6" s="97">
        <f t="shared" si="1"/>
        <v>33291.783714980978</v>
      </c>
      <c r="N6" s="6">
        <v>385.73276836158192</v>
      </c>
      <c r="O6" s="85">
        <f t="shared" si="5"/>
        <v>6.1500648910137509E-3</v>
      </c>
    </row>
    <row r="7" spans="1:15" ht="15.75" x14ac:dyDescent="0.25">
      <c r="A7" s="5" t="s">
        <v>32</v>
      </c>
      <c r="B7" s="84"/>
      <c r="C7" s="89">
        <v>9136</v>
      </c>
      <c r="D7" s="79">
        <v>3</v>
      </c>
      <c r="E7" s="90">
        <v>0</v>
      </c>
      <c r="F7" s="80">
        <v>41600</v>
      </c>
      <c r="G7" s="80">
        <f t="shared" si="2"/>
        <v>0</v>
      </c>
      <c r="H7" s="80">
        <v>0</v>
      </c>
      <c r="I7" s="80">
        <f t="shared" si="3"/>
        <v>0</v>
      </c>
      <c r="J7" s="80">
        <f t="shared" si="0"/>
        <v>0</v>
      </c>
      <c r="K7" s="80">
        <v>3751</v>
      </c>
      <c r="L7" s="80">
        <f t="shared" si="4"/>
        <v>87415.440910787234</v>
      </c>
      <c r="M7" s="97">
        <f t="shared" si="1"/>
        <v>91166.440910787234</v>
      </c>
      <c r="N7" s="89">
        <v>9136</v>
      </c>
      <c r="O7" s="85">
        <f t="shared" si="5"/>
        <v>0.14566300157219861</v>
      </c>
    </row>
    <row r="8" spans="1:15" ht="15.75" x14ac:dyDescent="0.25">
      <c r="A8" s="5" t="s">
        <v>8</v>
      </c>
      <c r="B8" s="84"/>
      <c r="C8" s="6">
        <v>12099.93559322034</v>
      </c>
      <c r="D8" s="87">
        <v>3</v>
      </c>
      <c r="E8" s="90">
        <f t="shared" ref="E8:E9" si="6">((C8/3000)*0.8)</f>
        <v>3.2266494915254245</v>
      </c>
      <c r="F8" s="80">
        <v>41600</v>
      </c>
      <c r="G8" s="80">
        <f t="shared" si="2"/>
        <v>134228.61884745766</v>
      </c>
      <c r="H8" s="80">
        <f>((C8/2700)*2700)</f>
        <v>12099.935593220338</v>
      </c>
      <c r="I8" s="80">
        <f t="shared" si="3"/>
        <v>14632.855444067802</v>
      </c>
      <c r="J8" s="80">
        <f t="shared" si="0"/>
        <v>160961.40988474581</v>
      </c>
      <c r="K8" s="80">
        <v>3751</v>
      </c>
      <c r="L8" s="80">
        <f t="shared" si="4"/>
        <v>115775.08809911164</v>
      </c>
      <c r="M8" s="97">
        <f t="shared" si="1"/>
        <v>280487.49798385747</v>
      </c>
      <c r="N8" s="6">
        <v>12099.93559322034</v>
      </c>
      <c r="O8" s="85">
        <f t="shared" si="5"/>
        <v>0.19291954217806001</v>
      </c>
    </row>
    <row r="9" spans="1:15" ht="15.75" x14ac:dyDescent="0.25">
      <c r="A9" s="5" t="s">
        <v>9</v>
      </c>
      <c r="B9" s="84"/>
      <c r="C9" s="6">
        <v>22651.82429378531</v>
      </c>
      <c r="D9" s="87">
        <v>3</v>
      </c>
      <c r="E9" s="90">
        <f t="shared" si="6"/>
        <v>6.0404864783427499</v>
      </c>
      <c r="F9" s="80">
        <v>41600</v>
      </c>
      <c r="G9" s="80">
        <f t="shared" si="2"/>
        <v>251284.23749905839</v>
      </c>
      <c r="H9" s="80">
        <f>((C9/2700)*2700)</f>
        <v>22651.824293785307</v>
      </c>
      <c r="I9" s="80">
        <f t="shared" si="3"/>
        <v>27393.606179284368</v>
      </c>
      <c r="J9" s="80">
        <f t="shared" si="0"/>
        <v>301329.66797212802</v>
      </c>
      <c r="K9" s="80">
        <v>3751</v>
      </c>
      <c r="L9" s="80">
        <f t="shared" si="4"/>
        <v>216738.09195215898</v>
      </c>
      <c r="M9" s="97">
        <f t="shared" si="1"/>
        <v>521818.75992428698</v>
      </c>
      <c r="N9" s="6">
        <v>22651.82429378531</v>
      </c>
      <c r="O9" s="85">
        <f t="shared" si="5"/>
        <v>0.36115725894470402</v>
      </c>
    </row>
    <row r="10" spans="1:15" ht="15.75" x14ac:dyDescent="0.25">
      <c r="A10" s="5" t="s">
        <v>10</v>
      </c>
      <c r="B10" s="84"/>
      <c r="C10" s="6">
        <v>2040.1887005649717</v>
      </c>
      <c r="D10" s="87">
        <v>2</v>
      </c>
      <c r="E10" s="79">
        <v>0.8</v>
      </c>
      <c r="F10" s="80">
        <v>41600</v>
      </c>
      <c r="G10" s="80">
        <f t="shared" si="2"/>
        <v>33280</v>
      </c>
      <c r="H10" s="80">
        <v>3200</v>
      </c>
      <c r="I10" s="80">
        <f t="shared" si="3"/>
        <v>3648</v>
      </c>
      <c r="J10" s="80">
        <f t="shared" si="0"/>
        <v>40128</v>
      </c>
      <c r="K10" s="80">
        <v>3751</v>
      </c>
      <c r="L10" s="80">
        <f t="shared" si="4"/>
        <v>19521.015192764127</v>
      </c>
      <c r="M10" s="97">
        <f t="shared" si="1"/>
        <v>63400.015192764127</v>
      </c>
      <c r="N10" s="6">
        <v>2040.1887005649717</v>
      </c>
      <c r="O10" s="85">
        <f t="shared" si="5"/>
        <v>3.2528459927536918E-2</v>
      </c>
    </row>
    <row r="11" spans="1:15" ht="15.75" x14ac:dyDescent="0.25">
      <c r="A11" s="5" t="s">
        <v>11</v>
      </c>
      <c r="B11" s="84"/>
      <c r="C11" s="6">
        <v>2912.9474576271186</v>
      </c>
      <c r="D11" s="87">
        <v>2</v>
      </c>
      <c r="E11" s="79">
        <v>0.8</v>
      </c>
      <c r="F11" s="80">
        <v>41600</v>
      </c>
      <c r="G11" s="80">
        <f t="shared" si="2"/>
        <v>33280</v>
      </c>
      <c r="H11" s="80">
        <v>3200</v>
      </c>
      <c r="I11" s="80">
        <f t="shared" si="3"/>
        <v>3648</v>
      </c>
      <c r="J11" s="80">
        <f t="shared" si="0"/>
        <v>40128</v>
      </c>
      <c r="K11" s="80">
        <v>3751</v>
      </c>
      <c r="L11" s="80">
        <f t="shared" si="4"/>
        <v>27871.780468304652</v>
      </c>
      <c r="M11" s="97">
        <f t="shared" si="1"/>
        <v>71750.780468304656</v>
      </c>
      <c r="N11" s="6">
        <v>2912.9474576271186</v>
      </c>
      <c r="O11" s="85">
        <f t="shared" si="5"/>
        <v>4.6443593487310739E-2</v>
      </c>
    </row>
    <row r="12" spans="1:15" ht="15.75" x14ac:dyDescent="0.25">
      <c r="A12" s="5" t="s">
        <v>12</v>
      </c>
      <c r="B12" s="84"/>
      <c r="C12" s="6">
        <v>313.08813559322033</v>
      </c>
      <c r="D12" s="87">
        <v>1</v>
      </c>
      <c r="E12" s="79">
        <v>0.5</v>
      </c>
      <c r="F12" s="80">
        <v>41600</v>
      </c>
      <c r="G12" s="80">
        <f t="shared" si="2"/>
        <v>20800</v>
      </c>
      <c r="H12" s="80">
        <v>2700</v>
      </c>
      <c r="I12" s="80">
        <f t="shared" si="3"/>
        <v>2350</v>
      </c>
      <c r="J12" s="80">
        <f t="shared" si="0"/>
        <v>25850</v>
      </c>
      <c r="K12" s="80">
        <v>3751</v>
      </c>
      <c r="L12" s="80">
        <f t="shared" si="4"/>
        <v>2995.702431788276</v>
      </c>
      <c r="M12" s="97">
        <f t="shared" si="1"/>
        <v>32596.702431788275</v>
      </c>
      <c r="N12" s="6">
        <v>313.08813559322033</v>
      </c>
      <c r="O12" s="85">
        <f t="shared" si="5"/>
        <v>4.9918298584886141E-3</v>
      </c>
    </row>
    <row r="13" spans="1:15" ht="15.75" x14ac:dyDescent="0.25">
      <c r="A13" s="5" t="s">
        <v>13</v>
      </c>
      <c r="B13" s="91"/>
      <c r="C13" s="6">
        <v>8654.9429378531077</v>
      </c>
      <c r="D13" s="79">
        <v>3</v>
      </c>
      <c r="E13" s="90">
        <f>((C13/3000)*0.8)</f>
        <v>2.3079847834274956</v>
      </c>
      <c r="F13" s="80">
        <v>41600</v>
      </c>
      <c r="G13" s="80">
        <f t="shared" si="2"/>
        <v>96012.166990583821</v>
      </c>
      <c r="H13" s="80">
        <f>((C13/2700)*2700)</f>
        <v>8654.9429378531077</v>
      </c>
      <c r="I13" s="80">
        <f t="shared" si="3"/>
        <v>10466.710992843693</v>
      </c>
      <c r="J13" s="80">
        <f t="shared" si="0"/>
        <v>115133.82092128063</v>
      </c>
      <c r="K13" s="80">
        <v>3751</v>
      </c>
      <c r="L13" s="80">
        <f t="shared" si="4"/>
        <v>82812.571472212527</v>
      </c>
      <c r="M13" s="97">
        <f t="shared" si="1"/>
        <v>201697.39239349315</v>
      </c>
      <c r="N13" s="6">
        <v>8654.9429378531077</v>
      </c>
      <c r="O13" s="85">
        <f t="shared" si="5"/>
        <v>0.13799310056521305</v>
      </c>
    </row>
    <row r="14" spans="1:15" ht="15.75" x14ac:dyDescent="0.25">
      <c r="A14" s="5" t="s">
        <v>14</v>
      </c>
      <c r="B14" s="84"/>
      <c r="C14" s="6">
        <v>1189.939548022599</v>
      </c>
      <c r="D14" s="87">
        <v>2</v>
      </c>
      <c r="E14" s="79">
        <v>0.8</v>
      </c>
      <c r="F14" s="80">
        <v>41600</v>
      </c>
      <c r="G14" s="80">
        <f t="shared" si="2"/>
        <v>33280</v>
      </c>
      <c r="H14" s="80">
        <v>3200</v>
      </c>
      <c r="I14" s="80">
        <f t="shared" si="3"/>
        <v>3648</v>
      </c>
      <c r="J14" s="80">
        <f t="shared" si="0"/>
        <v>40128</v>
      </c>
      <c r="K14" s="80">
        <v>3751</v>
      </c>
      <c r="L14" s="80">
        <f t="shared" si="4"/>
        <v>11385.627216241064</v>
      </c>
      <c r="M14" s="97">
        <f t="shared" si="1"/>
        <v>55264.627216241061</v>
      </c>
      <c r="N14" s="6">
        <v>1189.939548022599</v>
      </c>
      <c r="O14" s="85">
        <f t="shared" si="5"/>
        <v>1.8972216096151174E-2</v>
      </c>
    </row>
    <row r="15" spans="1:15" ht="90" x14ac:dyDescent="0.25">
      <c r="A15" s="79"/>
      <c r="B15" s="92">
        <v>1500198</v>
      </c>
      <c r="C15" s="87">
        <f>SUM(C3:C14)</f>
        <v>62720.113559322032</v>
      </c>
      <c r="D15" s="79" t="s">
        <v>26</v>
      </c>
      <c r="E15" s="85" t="s">
        <v>33</v>
      </c>
      <c r="F15" s="79" t="s">
        <v>57</v>
      </c>
      <c r="G15" s="85"/>
      <c r="H15" s="79" t="s">
        <v>149</v>
      </c>
      <c r="I15" s="87" t="s">
        <v>36</v>
      </c>
      <c r="J15" s="93">
        <f>SUM(J3:J14)</f>
        <v>855064.89877815451</v>
      </c>
      <c r="K15" s="194">
        <f>SUM(K3:K14)</f>
        <v>45012</v>
      </c>
      <c r="L15" s="93">
        <f>(B15-J15-K15)</f>
        <v>600121.10122184549</v>
      </c>
      <c r="M15" s="98">
        <f t="shared" si="1"/>
        <v>1500198</v>
      </c>
      <c r="N15" s="87">
        <f>SUM(N3:N14)</f>
        <v>62720.113559322032</v>
      </c>
      <c r="O15" s="85">
        <f>SUM(O3:O14)</f>
        <v>1</v>
      </c>
    </row>
    <row r="16" spans="1:15" ht="120" x14ac:dyDescent="0.25">
      <c r="A16" s="79"/>
      <c r="B16" s="79"/>
      <c r="C16" s="87" t="s">
        <v>39</v>
      </c>
      <c r="D16" s="87"/>
      <c r="E16" s="85"/>
      <c r="F16" s="85"/>
      <c r="G16" s="85"/>
      <c r="H16" s="87"/>
      <c r="I16" s="87"/>
      <c r="J16" s="85">
        <f>(J15/M15)</f>
        <v>0.56996803007213348</v>
      </c>
      <c r="K16" s="87" t="s">
        <v>150</v>
      </c>
      <c r="L16" s="94" t="s">
        <v>42</v>
      </c>
      <c r="M16" s="87"/>
      <c r="N16" s="87"/>
      <c r="O16" s="95"/>
    </row>
  </sheetData>
  <mergeCells count="2">
    <mergeCell ref="E1:I1"/>
    <mergeCell ref="N1:O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58E34-1BB7-4D47-8A0E-52144D379D71}">
  <dimension ref="A1:O16"/>
  <sheetViews>
    <sheetView zoomScaleNormal="100" workbookViewId="0">
      <selection activeCell="H16" sqref="H16"/>
    </sheetView>
  </sheetViews>
  <sheetFormatPr defaultRowHeight="15" x14ac:dyDescent="0.25"/>
  <cols>
    <col min="1" max="1" width="20" customWidth="1"/>
    <col min="2" max="2" width="16.42578125" customWidth="1"/>
    <col min="3" max="3" width="14" customWidth="1"/>
    <col min="4" max="4" width="13.28515625" customWidth="1"/>
    <col min="5" max="5" width="10.42578125" customWidth="1"/>
    <col min="6" max="6" width="13" customWidth="1"/>
    <col min="7" max="7" width="12.85546875" customWidth="1"/>
    <col min="8" max="8" width="13.140625" customWidth="1"/>
    <col min="9" max="9" width="14" customWidth="1"/>
    <col min="10" max="10" width="14.140625" customWidth="1"/>
    <col min="11" max="11" width="13.42578125" customWidth="1"/>
    <col min="12" max="12" width="19.42578125" customWidth="1"/>
    <col min="13" max="13" width="17.5703125" customWidth="1"/>
    <col min="14" max="14" width="19.28515625" customWidth="1"/>
    <col min="15" max="15" width="17.28515625" customWidth="1"/>
    <col min="17" max="17" width="20.85546875" customWidth="1"/>
    <col min="18" max="18" width="18.5703125" customWidth="1"/>
  </cols>
  <sheetData>
    <row r="1" spans="1:15" ht="47.25" x14ac:dyDescent="0.25">
      <c r="A1" s="107"/>
      <c r="B1" s="108"/>
      <c r="C1" s="109" t="s">
        <v>58</v>
      </c>
      <c r="D1" s="110" t="s">
        <v>59</v>
      </c>
      <c r="E1" s="278" t="s">
        <v>25</v>
      </c>
      <c r="F1" s="279"/>
      <c r="G1" s="279"/>
      <c r="H1" s="279"/>
      <c r="I1" s="279"/>
      <c r="J1" s="280"/>
      <c r="K1" s="109" t="s">
        <v>54</v>
      </c>
      <c r="L1" s="109" t="s">
        <v>55</v>
      </c>
      <c r="M1" s="111" t="s">
        <v>56</v>
      </c>
      <c r="N1" s="278" t="s">
        <v>41</v>
      </c>
      <c r="O1" s="280"/>
    </row>
    <row r="2" spans="1:15" ht="63" x14ac:dyDescent="0.25">
      <c r="A2" s="78"/>
      <c r="B2" s="78" t="s">
        <v>160</v>
      </c>
      <c r="C2" s="118"/>
      <c r="D2" s="119"/>
      <c r="E2" s="110" t="s">
        <v>27</v>
      </c>
      <c r="F2" s="110" t="s">
        <v>28</v>
      </c>
      <c r="G2" s="110" t="s">
        <v>29</v>
      </c>
      <c r="H2" s="110" t="s">
        <v>151</v>
      </c>
      <c r="I2" s="110" t="s">
        <v>30</v>
      </c>
      <c r="J2" s="110" t="s">
        <v>31</v>
      </c>
      <c r="K2" s="110" t="s">
        <v>19</v>
      </c>
      <c r="L2" s="110"/>
      <c r="M2" s="111"/>
      <c r="N2" s="110" t="s">
        <v>44</v>
      </c>
      <c r="O2" s="120" t="s">
        <v>43</v>
      </c>
    </row>
    <row r="3" spans="1:15" ht="15.75" x14ac:dyDescent="0.25">
      <c r="A3" s="5" t="s">
        <v>3</v>
      </c>
      <c r="B3" s="84"/>
      <c r="C3" s="6">
        <v>859.45762711864404</v>
      </c>
      <c r="D3" s="79">
        <v>1</v>
      </c>
      <c r="E3" s="79">
        <v>0.5</v>
      </c>
      <c r="F3" s="80">
        <v>41600</v>
      </c>
      <c r="G3" s="80">
        <f>(E3)*(F3)</f>
        <v>20800</v>
      </c>
      <c r="H3" s="80">
        <f t="shared" ref="H3:H14" si="0">(G3*0.4)</f>
        <v>8320</v>
      </c>
      <c r="I3" s="80">
        <v>2000</v>
      </c>
      <c r="J3" s="80">
        <f>SUM(G3+I3)*0.1</f>
        <v>2280</v>
      </c>
      <c r="K3" s="80">
        <f>SUM(G3+H3+I3+J3)</f>
        <v>33400</v>
      </c>
      <c r="L3" s="80">
        <f>($L$15*O3)</f>
        <v>5023.722058886543</v>
      </c>
      <c r="M3" s="97">
        <f>SUM(K3:L3)</f>
        <v>38423.722058886546</v>
      </c>
      <c r="N3" s="6">
        <v>859.45762711864404</v>
      </c>
      <c r="O3" s="85">
        <f>(N3/$N$15)</f>
        <v>1.3703062356635412E-2</v>
      </c>
    </row>
    <row r="4" spans="1:15" ht="15.75" x14ac:dyDescent="0.25">
      <c r="A4" s="5" t="s">
        <v>4</v>
      </c>
      <c r="B4" s="84"/>
      <c r="C4" s="6">
        <v>1377.1785310734463</v>
      </c>
      <c r="D4" s="79">
        <v>2</v>
      </c>
      <c r="E4" s="79">
        <v>0.8</v>
      </c>
      <c r="F4" s="80">
        <v>41600</v>
      </c>
      <c r="G4" s="80">
        <f t="shared" ref="G4:G14" si="1">(E4)*(F4)</f>
        <v>33280</v>
      </c>
      <c r="H4" s="80">
        <f t="shared" si="0"/>
        <v>13312</v>
      </c>
      <c r="I4" s="80">
        <v>2500</v>
      </c>
      <c r="J4" s="80">
        <f>SUM(G4+I4)*0.1</f>
        <v>3578</v>
      </c>
      <c r="K4" s="80">
        <f>SUM(G4+H4+I4+J4)</f>
        <v>52670</v>
      </c>
      <c r="L4" s="80">
        <f>($L$15*O4)</f>
        <v>8049.9165372158168</v>
      </c>
      <c r="M4" s="97">
        <f t="shared" ref="M4:M14" si="2">SUM(K4:L4)</f>
        <v>60719.916537215817</v>
      </c>
      <c r="N4" s="6">
        <v>1377.1785310734463</v>
      </c>
      <c r="O4" s="85">
        <f t="shared" ref="O4:O14" si="3">(N4/$N$15)</f>
        <v>2.1957526109561028E-2</v>
      </c>
    </row>
    <row r="5" spans="1:15" ht="15.75" x14ac:dyDescent="0.25">
      <c r="A5" s="5" t="s">
        <v>5</v>
      </c>
      <c r="B5" s="84"/>
      <c r="C5" s="6">
        <v>1098.8779661016949</v>
      </c>
      <c r="D5" s="87">
        <v>2</v>
      </c>
      <c r="E5" s="79">
        <v>0.8</v>
      </c>
      <c r="F5" s="80">
        <v>41600</v>
      </c>
      <c r="G5" s="80">
        <f t="shared" si="1"/>
        <v>33280</v>
      </c>
      <c r="H5" s="80">
        <f t="shared" si="0"/>
        <v>13312</v>
      </c>
      <c r="I5" s="80">
        <v>2500</v>
      </c>
      <c r="J5" s="80">
        <f>SUM(G5+I5)*0.1</f>
        <v>3578</v>
      </c>
      <c r="K5" s="80">
        <f t="shared" ref="K5:K14" si="4">SUM(G5+H5+I5+J5)</f>
        <v>52670</v>
      </c>
      <c r="L5" s="80">
        <f t="shared" ref="L5:L14" si="5">($L$15*O5)</f>
        <v>6423.1874895763667</v>
      </c>
      <c r="M5" s="97">
        <f t="shared" si="2"/>
        <v>59093.187489576369</v>
      </c>
      <c r="N5" s="6">
        <v>1098.8779661016949</v>
      </c>
      <c r="O5" s="85">
        <f t="shared" si="3"/>
        <v>1.7520344013126708E-2</v>
      </c>
    </row>
    <row r="6" spans="1:15" ht="15.75" x14ac:dyDescent="0.25">
      <c r="A6" s="5" t="s">
        <v>6</v>
      </c>
      <c r="B6" s="84"/>
      <c r="C6" s="6">
        <v>385.73276836158192</v>
      </c>
      <c r="D6" s="79">
        <v>1</v>
      </c>
      <c r="E6" s="79">
        <v>0.5</v>
      </c>
      <c r="F6" s="80">
        <v>41600</v>
      </c>
      <c r="G6" s="80">
        <f t="shared" si="1"/>
        <v>20800</v>
      </c>
      <c r="H6" s="80">
        <f t="shared" si="0"/>
        <v>8320</v>
      </c>
      <c r="I6" s="80">
        <v>2000</v>
      </c>
      <c r="J6" s="80">
        <f>SUM(G6+I6)*0.1</f>
        <v>2280</v>
      </c>
      <c r="K6" s="80">
        <f t="shared" si="4"/>
        <v>33400</v>
      </c>
      <c r="L6" s="80">
        <f t="shared" si="5"/>
        <v>2254.6943050002701</v>
      </c>
      <c r="M6" s="97">
        <f t="shared" si="2"/>
        <v>35654.694305000274</v>
      </c>
      <c r="N6" s="6">
        <v>385.73276836158192</v>
      </c>
      <c r="O6" s="85">
        <f t="shared" si="3"/>
        <v>6.1500648910137509E-3</v>
      </c>
    </row>
    <row r="7" spans="1:15" ht="15.75" x14ac:dyDescent="0.25">
      <c r="A7" s="5" t="s">
        <v>32</v>
      </c>
      <c r="B7" s="84"/>
      <c r="C7" s="89">
        <v>9136</v>
      </c>
      <c r="D7" s="79">
        <v>3</v>
      </c>
      <c r="E7" s="90">
        <v>0</v>
      </c>
      <c r="F7" s="80">
        <v>41600</v>
      </c>
      <c r="G7" s="80">
        <f t="shared" si="1"/>
        <v>0</v>
      </c>
      <c r="H7" s="80">
        <f t="shared" si="0"/>
        <v>0</v>
      </c>
      <c r="I7" s="80">
        <v>0</v>
      </c>
      <c r="J7" s="80">
        <v>0</v>
      </c>
      <c r="K7" s="80">
        <f t="shared" si="4"/>
        <v>0</v>
      </c>
      <c r="L7" s="80">
        <f>($L$15*O7)</f>
        <v>53401.963379925459</v>
      </c>
      <c r="M7" s="97">
        <f t="shared" si="2"/>
        <v>53401.963379925459</v>
      </c>
      <c r="N7" s="89">
        <v>9136</v>
      </c>
      <c r="O7" s="85">
        <f t="shared" si="3"/>
        <v>0.14566300157219861</v>
      </c>
    </row>
    <row r="8" spans="1:15" ht="15.75" x14ac:dyDescent="0.25">
      <c r="A8" s="5" t="s">
        <v>8</v>
      </c>
      <c r="B8" s="84"/>
      <c r="C8" s="6">
        <v>12099.93559322034</v>
      </c>
      <c r="D8" s="87">
        <v>3</v>
      </c>
      <c r="E8" s="90">
        <f t="shared" ref="E8:E9" si="6">((C8/3000)*0.8)</f>
        <v>3.2266494915254245</v>
      </c>
      <c r="F8" s="80">
        <v>41600</v>
      </c>
      <c r="G8" s="80">
        <f t="shared" si="1"/>
        <v>134228.61884745766</v>
      </c>
      <c r="H8" s="80">
        <f t="shared" si="0"/>
        <v>53691.44753898307</v>
      </c>
      <c r="I8" s="80">
        <f t="shared" ref="I8:I9" si="7">((C8/2000)*2000)</f>
        <v>12099.93559322034</v>
      </c>
      <c r="J8" s="80">
        <f t="shared" ref="J8:J14" si="8">SUM(G8+I8)*0.1</f>
        <v>14632.855444067802</v>
      </c>
      <c r="K8" s="80">
        <f t="shared" si="4"/>
        <v>214652.85742372888</v>
      </c>
      <c r="L8" s="80">
        <f>($L$15*O8)</f>
        <v>70726.829843324129</v>
      </c>
      <c r="M8" s="97">
        <f t="shared" si="2"/>
        <v>285379.687267053</v>
      </c>
      <c r="N8" s="6">
        <v>12099.93559322034</v>
      </c>
      <c r="O8" s="85">
        <f t="shared" si="3"/>
        <v>0.19291954217806001</v>
      </c>
    </row>
    <row r="9" spans="1:15" ht="15.75" x14ac:dyDescent="0.25">
      <c r="A9" s="5" t="s">
        <v>9</v>
      </c>
      <c r="B9" s="84"/>
      <c r="C9" s="6">
        <v>22651.82429378531</v>
      </c>
      <c r="D9" s="87">
        <v>3</v>
      </c>
      <c r="E9" s="90">
        <f t="shared" si="6"/>
        <v>6.0404864783427499</v>
      </c>
      <c r="F9" s="80">
        <v>41600</v>
      </c>
      <c r="G9" s="80">
        <f t="shared" si="1"/>
        <v>251284.23749905839</v>
      </c>
      <c r="H9" s="80">
        <f t="shared" si="0"/>
        <v>100513.69499962336</v>
      </c>
      <c r="I9" s="80">
        <f t="shared" si="7"/>
        <v>22651.82429378531</v>
      </c>
      <c r="J9" s="80">
        <f t="shared" si="8"/>
        <v>27393.606179284368</v>
      </c>
      <c r="K9" s="80">
        <f t="shared" si="4"/>
        <v>401843.36297175149</v>
      </c>
      <c r="L9" s="80">
        <f t="shared" si="5"/>
        <v>132404.97935915377</v>
      </c>
      <c r="M9" s="97">
        <f t="shared" si="2"/>
        <v>534248.34233090526</v>
      </c>
      <c r="N9" s="6">
        <v>22651.82429378531</v>
      </c>
      <c r="O9" s="85">
        <f t="shared" si="3"/>
        <v>0.36115725894470402</v>
      </c>
    </row>
    <row r="10" spans="1:15" ht="15.75" x14ac:dyDescent="0.25">
      <c r="A10" s="5" t="s">
        <v>10</v>
      </c>
      <c r="B10" s="84"/>
      <c r="C10" s="6">
        <v>2040.1887005649717</v>
      </c>
      <c r="D10" s="87">
        <v>2</v>
      </c>
      <c r="E10" s="79">
        <v>0.8</v>
      </c>
      <c r="F10" s="80">
        <v>41600</v>
      </c>
      <c r="G10" s="80">
        <f t="shared" si="1"/>
        <v>33280</v>
      </c>
      <c r="H10" s="80">
        <f t="shared" si="0"/>
        <v>13312</v>
      </c>
      <c r="I10" s="80">
        <v>2500</v>
      </c>
      <c r="J10" s="80">
        <f t="shared" si="8"/>
        <v>3578</v>
      </c>
      <c r="K10" s="80">
        <f t="shared" si="4"/>
        <v>52670</v>
      </c>
      <c r="L10" s="80">
        <f t="shared" si="5"/>
        <v>11925.359268356864</v>
      </c>
      <c r="M10" s="97">
        <f t="shared" si="2"/>
        <v>64595.359268356864</v>
      </c>
      <c r="N10" s="6">
        <v>2040.1887005649717</v>
      </c>
      <c r="O10" s="85">
        <f t="shared" si="3"/>
        <v>3.2528459927536918E-2</v>
      </c>
    </row>
    <row r="11" spans="1:15" ht="15.75" x14ac:dyDescent="0.25">
      <c r="A11" s="5" t="s">
        <v>11</v>
      </c>
      <c r="B11" s="84"/>
      <c r="C11" s="6">
        <v>2912.9474576271186</v>
      </c>
      <c r="D11" s="87">
        <v>2</v>
      </c>
      <c r="E11" s="79">
        <v>0.8</v>
      </c>
      <c r="F11" s="80">
        <v>41600</v>
      </c>
      <c r="G11" s="80">
        <f t="shared" si="1"/>
        <v>33280</v>
      </c>
      <c r="H11" s="80">
        <f t="shared" si="0"/>
        <v>13312</v>
      </c>
      <c r="I11" s="80">
        <v>2500</v>
      </c>
      <c r="J11" s="80">
        <f t="shared" si="8"/>
        <v>3578</v>
      </c>
      <c r="K11" s="80">
        <f t="shared" si="4"/>
        <v>52670</v>
      </c>
      <c r="L11" s="80">
        <f t="shared" si="5"/>
        <v>17026.829406726178</v>
      </c>
      <c r="M11" s="97">
        <f t="shared" si="2"/>
        <v>69696.829406726174</v>
      </c>
      <c r="N11" s="6">
        <v>2912.9474576271186</v>
      </c>
      <c r="O11" s="85">
        <f t="shared" si="3"/>
        <v>4.6443593487310739E-2</v>
      </c>
    </row>
    <row r="12" spans="1:15" ht="15.75" x14ac:dyDescent="0.25">
      <c r="A12" s="5" t="s">
        <v>12</v>
      </c>
      <c r="B12" s="84"/>
      <c r="C12" s="6">
        <v>313.08813559322033</v>
      </c>
      <c r="D12" s="87">
        <v>1</v>
      </c>
      <c r="E12" s="79">
        <v>0.5</v>
      </c>
      <c r="F12" s="80">
        <v>41600</v>
      </c>
      <c r="G12" s="80">
        <f t="shared" si="1"/>
        <v>20800</v>
      </c>
      <c r="H12" s="80">
        <f t="shared" si="0"/>
        <v>8320</v>
      </c>
      <c r="I12" s="80">
        <v>2000</v>
      </c>
      <c r="J12" s="80">
        <f t="shared" si="8"/>
        <v>2280</v>
      </c>
      <c r="K12" s="80">
        <f t="shared" si="4"/>
        <v>33400</v>
      </c>
      <c r="L12" s="80">
        <f t="shared" si="5"/>
        <v>1830.0701785943834</v>
      </c>
      <c r="M12" s="97">
        <f t="shared" si="2"/>
        <v>35230.070178594382</v>
      </c>
      <c r="N12" s="6">
        <v>313.08813559322033</v>
      </c>
      <c r="O12" s="85">
        <f t="shared" si="3"/>
        <v>4.9918298584886141E-3</v>
      </c>
    </row>
    <row r="13" spans="1:15" ht="15.75" x14ac:dyDescent="0.25">
      <c r="A13" s="5" t="s">
        <v>13</v>
      </c>
      <c r="B13" s="91"/>
      <c r="C13" s="6">
        <v>8654.9429378531077</v>
      </c>
      <c r="D13" s="79">
        <v>3</v>
      </c>
      <c r="E13" s="90">
        <f>((C13/3000)*0.8)</f>
        <v>2.3079847834274956</v>
      </c>
      <c r="F13" s="80">
        <v>41600</v>
      </c>
      <c r="G13" s="80">
        <f t="shared" si="1"/>
        <v>96012.166990583821</v>
      </c>
      <c r="H13" s="80">
        <f t="shared" si="0"/>
        <v>38404.866796233531</v>
      </c>
      <c r="I13" s="80">
        <f>((C13/2000)*2000)</f>
        <v>8654.9429378531077</v>
      </c>
      <c r="J13" s="80">
        <f t="shared" si="8"/>
        <v>10466.710992843693</v>
      </c>
      <c r="K13" s="80">
        <f t="shared" si="4"/>
        <v>153538.68771751414</v>
      </c>
      <c r="L13" s="80">
        <f t="shared" si="5"/>
        <v>50590.077257287223</v>
      </c>
      <c r="M13" s="97">
        <f t="shared" si="2"/>
        <v>204128.76497480136</v>
      </c>
      <c r="N13" s="6">
        <v>8654.9429378531077</v>
      </c>
      <c r="O13" s="85">
        <f t="shared" si="3"/>
        <v>0.13799310056521305</v>
      </c>
    </row>
    <row r="14" spans="1:15" ht="15.75" x14ac:dyDescent="0.25">
      <c r="A14" s="5" t="s">
        <v>14</v>
      </c>
      <c r="B14" s="84"/>
      <c r="C14" s="6">
        <v>1189.939548022599</v>
      </c>
      <c r="D14" s="87">
        <v>2</v>
      </c>
      <c r="E14" s="79">
        <v>0.8</v>
      </c>
      <c r="F14" s="80">
        <v>41600</v>
      </c>
      <c r="G14" s="80">
        <f t="shared" si="1"/>
        <v>33280</v>
      </c>
      <c r="H14" s="80">
        <f t="shared" si="0"/>
        <v>13312</v>
      </c>
      <c r="I14" s="80">
        <v>2500</v>
      </c>
      <c r="J14" s="80">
        <f t="shared" si="8"/>
        <v>3578</v>
      </c>
      <c r="K14" s="80">
        <f t="shared" si="4"/>
        <v>52670</v>
      </c>
      <c r="L14" s="80">
        <f t="shared" si="5"/>
        <v>6955.4628029583928</v>
      </c>
      <c r="M14" s="97">
        <f t="shared" si="2"/>
        <v>59625.462802958391</v>
      </c>
      <c r="N14" s="6">
        <v>1189.939548022599</v>
      </c>
      <c r="O14" s="85">
        <f t="shared" si="3"/>
        <v>1.8972216096151174E-2</v>
      </c>
    </row>
    <row r="15" spans="1:15" ht="120" x14ac:dyDescent="0.25">
      <c r="A15" s="79"/>
      <c r="B15" s="92">
        <v>1500198</v>
      </c>
      <c r="C15" s="87">
        <f>SUM(C3:C14)</f>
        <v>62720.113559322032</v>
      </c>
      <c r="D15" s="79" t="s">
        <v>26</v>
      </c>
      <c r="E15" s="85" t="s">
        <v>33</v>
      </c>
      <c r="F15" s="79" t="s">
        <v>57</v>
      </c>
      <c r="G15" s="85"/>
      <c r="H15" s="85">
        <v>0.4</v>
      </c>
      <c r="I15" s="79" t="s">
        <v>152</v>
      </c>
      <c r="J15" s="87" t="s">
        <v>36</v>
      </c>
      <c r="K15" s="93">
        <f>SUM(K3:K14)</f>
        <v>1133584.9081129946</v>
      </c>
      <c r="L15" s="93">
        <f>(B15-K15)</f>
        <v>366613.09188700537</v>
      </c>
      <c r="M15" s="98">
        <f>SUM(K15:L15)</f>
        <v>1500198</v>
      </c>
      <c r="N15" s="87">
        <f>SUM(N3:N14)</f>
        <v>62720.113559322032</v>
      </c>
      <c r="O15" s="85">
        <v>0.99999999999999989</v>
      </c>
    </row>
    <row r="16" spans="1:15" ht="120" x14ac:dyDescent="0.25">
      <c r="A16" s="79"/>
      <c r="B16" s="79"/>
      <c r="C16" s="87" t="s">
        <v>39</v>
      </c>
      <c r="D16" s="87"/>
      <c r="E16" s="85"/>
      <c r="F16" s="85"/>
      <c r="G16" s="85"/>
      <c r="H16" s="85"/>
      <c r="I16" s="87"/>
      <c r="J16" s="87"/>
      <c r="K16" s="85">
        <f>(K15/M15)</f>
        <v>0.75562352976940017</v>
      </c>
      <c r="L16" s="94" t="s">
        <v>42</v>
      </c>
      <c r="M16" s="87"/>
      <c r="N16" s="87"/>
      <c r="O16" s="95"/>
    </row>
  </sheetData>
  <mergeCells count="2">
    <mergeCell ref="E1:J1"/>
    <mergeCell ref="N1:O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205C4-1F7F-47B0-82F0-B7E4447D1E7D}">
  <dimension ref="A1:O16"/>
  <sheetViews>
    <sheetView workbookViewId="0">
      <selection activeCell="E19" sqref="E19"/>
    </sheetView>
  </sheetViews>
  <sheetFormatPr defaultRowHeight="15" x14ac:dyDescent="0.25"/>
  <cols>
    <col min="1" max="1" width="20" customWidth="1"/>
    <col min="2" max="2" width="16.42578125" customWidth="1"/>
    <col min="3" max="3" width="14" customWidth="1"/>
    <col min="4" max="4" width="13.28515625" customWidth="1"/>
    <col min="5" max="5" width="15.7109375" customWidth="1"/>
    <col min="6" max="6" width="13" customWidth="1"/>
    <col min="7" max="7" width="12.85546875" customWidth="1"/>
    <col min="8" max="8" width="13.140625" customWidth="1"/>
    <col min="9" max="9" width="14" customWidth="1"/>
    <col min="10" max="10" width="14.140625" customWidth="1"/>
    <col min="11" max="11" width="13.42578125" customWidth="1"/>
    <col min="12" max="12" width="19.42578125" customWidth="1"/>
    <col min="13" max="13" width="17.5703125" customWidth="1"/>
    <col min="14" max="14" width="19.28515625" customWidth="1"/>
    <col min="15" max="15" width="17.28515625" customWidth="1"/>
    <col min="17" max="17" width="20.85546875" customWidth="1"/>
    <col min="18" max="18" width="18.5703125" customWidth="1"/>
  </cols>
  <sheetData>
    <row r="1" spans="1:15" ht="47.25" x14ac:dyDescent="0.25">
      <c r="A1" s="107"/>
      <c r="B1" s="108"/>
      <c r="C1" s="109" t="s">
        <v>58</v>
      </c>
      <c r="D1" s="110" t="s">
        <v>59</v>
      </c>
      <c r="E1" s="278" t="s">
        <v>25</v>
      </c>
      <c r="F1" s="279"/>
      <c r="G1" s="279"/>
      <c r="H1" s="279"/>
      <c r="I1" s="279"/>
      <c r="J1" s="280"/>
      <c r="K1" s="109" t="s">
        <v>54</v>
      </c>
      <c r="L1" s="109" t="s">
        <v>55</v>
      </c>
      <c r="M1" s="111" t="s">
        <v>56</v>
      </c>
      <c r="N1" s="278" t="s">
        <v>41</v>
      </c>
      <c r="O1" s="280"/>
    </row>
    <row r="2" spans="1:15" ht="63" x14ac:dyDescent="0.25">
      <c r="A2" s="78"/>
      <c r="B2" s="78" t="s">
        <v>160</v>
      </c>
      <c r="C2" s="118"/>
      <c r="D2" s="119"/>
      <c r="E2" s="110" t="s">
        <v>27</v>
      </c>
      <c r="F2" s="110" t="s">
        <v>28</v>
      </c>
      <c r="G2" s="110" t="s">
        <v>29</v>
      </c>
      <c r="H2" s="110" t="s">
        <v>151</v>
      </c>
      <c r="I2" s="110" t="s">
        <v>30</v>
      </c>
      <c r="J2" s="110" t="s">
        <v>31</v>
      </c>
      <c r="K2" s="110" t="s">
        <v>19</v>
      </c>
      <c r="L2" s="110"/>
      <c r="M2" s="111"/>
      <c r="N2" s="110" t="s">
        <v>44</v>
      </c>
      <c r="O2" s="120" t="s">
        <v>43</v>
      </c>
    </row>
    <row r="3" spans="1:15" ht="15.75" x14ac:dyDescent="0.25">
      <c r="A3" s="5" t="s">
        <v>3</v>
      </c>
      <c r="B3" s="84"/>
      <c r="C3" s="6">
        <v>859.45762711864404</v>
      </c>
      <c r="D3" s="90">
        <v>1</v>
      </c>
      <c r="E3" s="188">
        <v>0.5</v>
      </c>
      <c r="F3" s="80">
        <v>41600</v>
      </c>
      <c r="G3" s="80">
        <f>(E3)*(F3)</f>
        <v>20800</v>
      </c>
      <c r="H3" s="80">
        <v>0</v>
      </c>
      <c r="I3" s="80">
        <v>2000</v>
      </c>
      <c r="J3" s="80">
        <f>SUM(G3+H3+I3)*0.1</f>
        <v>2280</v>
      </c>
      <c r="K3" s="80">
        <f>SUM(G3+H3+I3+J3)</f>
        <v>25080</v>
      </c>
      <c r="L3" s="80">
        <f>($L$15*O3)</f>
        <v>5994.3279454080521</v>
      </c>
      <c r="M3" s="97">
        <f>SUM(K3:L3)</f>
        <v>31074.327945408051</v>
      </c>
      <c r="N3" s="6">
        <v>859.45762711864404</v>
      </c>
      <c r="O3" s="85">
        <f>(N3/$N$15)</f>
        <v>1.3703062356635412E-2</v>
      </c>
    </row>
    <row r="4" spans="1:15" ht="15.75" x14ac:dyDescent="0.25">
      <c r="A4" s="5" t="s">
        <v>4</v>
      </c>
      <c r="B4" s="84"/>
      <c r="C4" s="6">
        <v>1377.1785310734463</v>
      </c>
      <c r="D4" s="90">
        <v>2</v>
      </c>
      <c r="E4" s="188">
        <f t="shared" ref="E4:E5" si="0">((C4/3000)*0.8)</f>
        <v>0.36724760828625236</v>
      </c>
      <c r="F4" s="80">
        <v>41600</v>
      </c>
      <c r="G4" s="80">
        <f t="shared" ref="G4:G14" si="1">(E4)*(F4)</f>
        <v>15277.500504708098</v>
      </c>
      <c r="H4" s="80">
        <f>(F4*0.8)</f>
        <v>33280</v>
      </c>
      <c r="I4" s="80">
        <v>2000</v>
      </c>
      <c r="J4" s="80">
        <f t="shared" ref="J4:J14" si="2">SUM(G4+H4+I4)*0.1</f>
        <v>5055.7500504708105</v>
      </c>
      <c r="K4" s="80">
        <f>SUM(G4+H4+I4+J4)</f>
        <v>55613.250555178907</v>
      </c>
      <c r="L4" s="80">
        <f>($L$15*O4)</f>
        <v>9605.1969220467126</v>
      </c>
      <c r="M4" s="97">
        <f t="shared" ref="M4:M14" si="3">SUM(K4:L4)</f>
        <v>65218.447477225622</v>
      </c>
      <c r="N4" s="6">
        <v>1377.1785310734463</v>
      </c>
      <c r="O4" s="85">
        <f t="shared" ref="O4:O14" si="4">(N4/$N$15)</f>
        <v>2.1957526109561028E-2</v>
      </c>
    </row>
    <row r="5" spans="1:15" ht="15.75" x14ac:dyDescent="0.25">
      <c r="A5" s="5" t="s">
        <v>5</v>
      </c>
      <c r="B5" s="84"/>
      <c r="C5" s="6">
        <v>1098.8779661016949</v>
      </c>
      <c r="D5" s="90">
        <v>2</v>
      </c>
      <c r="E5" s="188">
        <f t="shared" si="0"/>
        <v>0.29303412429378534</v>
      </c>
      <c r="F5" s="80">
        <v>41600</v>
      </c>
      <c r="G5" s="80">
        <f t="shared" si="1"/>
        <v>12190.21957062147</v>
      </c>
      <c r="H5" s="80">
        <f t="shared" ref="H5" si="5">(F5*0.8)</f>
        <v>33280</v>
      </c>
      <c r="I5" s="80">
        <v>2000</v>
      </c>
      <c r="J5" s="80">
        <f t="shared" si="2"/>
        <v>4747.0219570621475</v>
      </c>
      <c r="K5" s="80">
        <f t="shared" ref="K5:K14" si="6">SUM(G5+H5+I5+J5)</f>
        <v>52217.241527683618</v>
      </c>
      <c r="L5" s="80">
        <f t="shared" ref="L5:L14" si="7">($L$15*O5)</f>
        <v>7664.176444486011</v>
      </c>
      <c r="M5" s="97">
        <f t="shared" si="3"/>
        <v>59881.417972169627</v>
      </c>
      <c r="N5" s="6">
        <v>1098.8779661016949</v>
      </c>
      <c r="O5" s="85">
        <f t="shared" si="4"/>
        <v>1.7520344013126708E-2</v>
      </c>
    </row>
    <row r="6" spans="1:15" ht="15.75" x14ac:dyDescent="0.25">
      <c r="A6" s="5" t="s">
        <v>6</v>
      </c>
      <c r="B6" s="84"/>
      <c r="C6" s="6">
        <v>385.73276836158192</v>
      </c>
      <c r="D6" s="90">
        <v>1</v>
      </c>
      <c r="E6" s="188">
        <v>0.5</v>
      </c>
      <c r="F6" s="80">
        <v>41600</v>
      </c>
      <c r="G6" s="80">
        <f t="shared" si="1"/>
        <v>20800</v>
      </c>
      <c r="H6" s="80">
        <v>0</v>
      </c>
      <c r="I6" s="80">
        <v>2000</v>
      </c>
      <c r="J6" s="80">
        <f t="shared" si="2"/>
        <v>2280</v>
      </c>
      <c r="K6" s="80">
        <f t="shared" si="6"/>
        <v>25080</v>
      </c>
      <c r="L6" s="80">
        <f t="shared" si="7"/>
        <v>2690.3114707367095</v>
      </c>
      <c r="M6" s="97">
        <f t="shared" si="3"/>
        <v>27770.311470736709</v>
      </c>
      <c r="N6" s="6">
        <v>385.73276836158192</v>
      </c>
      <c r="O6" s="85">
        <f t="shared" si="4"/>
        <v>6.1500648910137509E-3</v>
      </c>
    </row>
    <row r="7" spans="1:15" ht="15.75" x14ac:dyDescent="0.25">
      <c r="A7" s="5" t="s">
        <v>32</v>
      </c>
      <c r="B7" s="84"/>
      <c r="C7" s="89">
        <v>9136</v>
      </c>
      <c r="D7" s="90">
        <v>2</v>
      </c>
      <c r="E7" s="188">
        <v>0</v>
      </c>
      <c r="F7" s="80">
        <v>41600</v>
      </c>
      <c r="G7" s="80">
        <f t="shared" si="1"/>
        <v>0</v>
      </c>
      <c r="H7" s="80">
        <f t="shared" ref="H7" si="8">(G7*0.4)</f>
        <v>0</v>
      </c>
      <c r="I7" s="80">
        <v>0</v>
      </c>
      <c r="J7" s="80">
        <f t="shared" si="2"/>
        <v>0</v>
      </c>
      <c r="K7" s="80">
        <f t="shared" si="6"/>
        <v>0</v>
      </c>
      <c r="L7" s="80">
        <f>($L$15*O7)</f>
        <v>63719.464905845831</v>
      </c>
      <c r="M7" s="97">
        <f t="shared" si="3"/>
        <v>63719.464905845831</v>
      </c>
      <c r="N7" s="89">
        <v>9136</v>
      </c>
      <c r="O7" s="85">
        <f t="shared" si="4"/>
        <v>0.14566300157219861</v>
      </c>
    </row>
    <row r="8" spans="1:15" ht="15.75" x14ac:dyDescent="0.25">
      <c r="A8" s="5" t="s">
        <v>8</v>
      </c>
      <c r="B8" s="84"/>
      <c r="C8" s="6">
        <v>12099.93559322034</v>
      </c>
      <c r="D8" s="90">
        <v>2</v>
      </c>
      <c r="E8" s="188">
        <f t="shared" ref="E8:E11" si="9">((C8/3000)*0.8)</f>
        <v>3.2266494915254245</v>
      </c>
      <c r="F8" s="80">
        <v>41600</v>
      </c>
      <c r="G8" s="80">
        <f t="shared" si="1"/>
        <v>134228.61884745766</v>
      </c>
      <c r="H8" s="80">
        <f t="shared" ref="H8:H14" si="10">(F8*0.8)</f>
        <v>33280</v>
      </c>
      <c r="I8" s="80">
        <f t="shared" ref="I8:I9" si="11">((C8/2000)*2000)</f>
        <v>12099.93559322034</v>
      </c>
      <c r="J8" s="80">
        <f t="shared" si="2"/>
        <v>17960.855444067802</v>
      </c>
      <c r="K8" s="80">
        <f t="shared" si="6"/>
        <v>197569.40988474581</v>
      </c>
      <c r="L8" s="80">
        <f>($L$15*O8)</f>
        <v>84391.574145709092</v>
      </c>
      <c r="M8" s="97">
        <f t="shared" si="3"/>
        <v>281960.98403045489</v>
      </c>
      <c r="N8" s="6">
        <v>12099.93559322034</v>
      </c>
      <c r="O8" s="85">
        <f t="shared" si="4"/>
        <v>0.19291954217806001</v>
      </c>
    </row>
    <row r="9" spans="1:15" ht="15.75" x14ac:dyDescent="0.25">
      <c r="A9" s="5" t="s">
        <v>9</v>
      </c>
      <c r="B9" s="84"/>
      <c r="C9" s="6">
        <v>22651.82429378531</v>
      </c>
      <c r="D9" s="90">
        <v>2</v>
      </c>
      <c r="E9" s="188">
        <f t="shared" si="9"/>
        <v>6.0404864783427499</v>
      </c>
      <c r="F9" s="80">
        <v>41600</v>
      </c>
      <c r="G9" s="80">
        <f t="shared" si="1"/>
        <v>251284.23749905839</v>
      </c>
      <c r="H9" s="80">
        <f t="shared" si="10"/>
        <v>33280</v>
      </c>
      <c r="I9" s="80">
        <f t="shared" si="11"/>
        <v>22651.82429378531</v>
      </c>
      <c r="J9" s="80">
        <f t="shared" si="2"/>
        <v>30721.606179284368</v>
      </c>
      <c r="K9" s="80">
        <f t="shared" si="6"/>
        <v>337937.66797212802</v>
      </c>
      <c r="L9" s="80">
        <f t="shared" si="7"/>
        <v>157986.22188498673</v>
      </c>
      <c r="M9" s="97">
        <f t="shared" si="3"/>
        <v>495923.88985711476</v>
      </c>
      <c r="N9" s="6">
        <v>22651.82429378531</v>
      </c>
      <c r="O9" s="85">
        <f t="shared" si="4"/>
        <v>0.36115725894470402</v>
      </c>
    </row>
    <row r="10" spans="1:15" ht="15.75" x14ac:dyDescent="0.25">
      <c r="A10" s="5" t="s">
        <v>10</v>
      </c>
      <c r="B10" s="84"/>
      <c r="C10" s="6">
        <v>2040.1887005649717</v>
      </c>
      <c r="D10" s="90">
        <v>2</v>
      </c>
      <c r="E10" s="188">
        <f t="shared" si="9"/>
        <v>0.54405032015065913</v>
      </c>
      <c r="F10" s="80">
        <v>41600</v>
      </c>
      <c r="G10" s="80">
        <f t="shared" si="1"/>
        <v>22632.493318267421</v>
      </c>
      <c r="H10" s="80">
        <f t="shared" si="10"/>
        <v>33280</v>
      </c>
      <c r="I10" s="80">
        <v>2040</v>
      </c>
      <c r="J10" s="80">
        <f t="shared" si="2"/>
        <v>5795.2493318267425</v>
      </c>
      <c r="K10" s="80">
        <f t="shared" si="6"/>
        <v>63747.742650094166</v>
      </c>
      <c r="L10" s="80">
        <f t="shared" si="7"/>
        <v>14229.39276564721</v>
      </c>
      <c r="M10" s="97">
        <f t="shared" si="3"/>
        <v>77977.135415741373</v>
      </c>
      <c r="N10" s="6">
        <v>2040.1887005649717</v>
      </c>
      <c r="O10" s="85">
        <f t="shared" si="4"/>
        <v>3.2528459927536918E-2</v>
      </c>
    </row>
    <row r="11" spans="1:15" ht="15.75" x14ac:dyDescent="0.25">
      <c r="A11" s="5" t="s">
        <v>11</v>
      </c>
      <c r="B11" s="84"/>
      <c r="C11" s="6">
        <v>2912.9474576271186</v>
      </c>
      <c r="D11" s="90">
        <v>2</v>
      </c>
      <c r="E11" s="188">
        <f t="shared" si="9"/>
        <v>0.77678598870056503</v>
      </c>
      <c r="F11" s="80">
        <v>41600</v>
      </c>
      <c r="G11" s="80">
        <f t="shared" si="1"/>
        <v>32314.297129943505</v>
      </c>
      <c r="H11" s="80">
        <f t="shared" si="10"/>
        <v>33280</v>
      </c>
      <c r="I11" s="80">
        <v>2913</v>
      </c>
      <c r="J11" s="80">
        <f t="shared" si="2"/>
        <v>6850.7297129943508</v>
      </c>
      <c r="K11" s="80">
        <f t="shared" si="6"/>
        <v>75358.026842937848</v>
      </c>
      <c r="L11" s="80">
        <f t="shared" si="7"/>
        <v>20316.49007211515</v>
      </c>
      <c r="M11" s="97">
        <f t="shared" si="3"/>
        <v>95674.516915052998</v>
      </c>
      <c r="N11" s="6">
        <v>2912.9474576271186</v>
      </c>
      <c r="O11" s="85">
        <f t="shared" si="4"/>
        <v>4.6443593487310739E-2</v>
      </c>
    </row>
    <row r="12" spans="1:15" ht="15.75" x14ac:dyDescent="0.25">
      <c r="A12" s="5" t="s">
        <v>12</v>
      </c>
      <c r="B12" s="84"/>
      <c r="C12" s="6">
        <v>313.08813559322033</v>
      </c>
      <c r="D12" s="90">
        <v>1</v>
      </c>
      <c r="E12" s="188">
        <v>0.5</v>
      </c>
      <c r="F12" s="80">
        <v>41600</v>
      </c>
      <c r="G12" s="80">
        <f t="shared" si="1"/>
        <v>20800</v>
      </c>
      <c r="H12" s="80">
        <v>0</v>
      </c>
      <c r="I12" s="80">
        <v>2000</v>
      </c>
      <c r="J12" s="80">
        <f t="shared" si="2"/>
        <v>2280</v>
      </c>
      <c r="K12" s="80">
        <f t="shared" si="6"/>
        <v>25080</v>
      </c>
      <c r="L12" s="80">
        <f t="shared" si="7"/>
        <v>2183.6480372557903</v>
      </c>
      <c r="M12" s="97">
        <f t="shared" si="3"/>
        <v>27263.648037255789</v>
      </c>
      <c r="N12" s="6">
        <v>313.08813559322033</v>
      </c>
      <c r="O12" s="85">
        <f t="shared" si="4"/>
        <v>4.9918298584886141E-3</v>
      </c>
    </row>
    <row r="13" spans="1:15" ht="15.75" x14ac:dyDescent="0.25">
      <c r="A13" s="5" t="s">
        <v>13</v>
      </c>
      <c r="B13" s="91"/>
      <c r="C13" s="6">
        <v>8654.9429378531077</v>
      </c>
      <c r="D13" s="90">
        <v>2</v>
      </c>
      <c r="E13" s="188">
        <f>((C13/3000)*0.8)</f>
        <v>2.3079847834274956</v>
      </c>
      <c r="F13" s="80">
        <v>41600</v>
      </c>
      <c r="G13" s="80">
        <f t="shared" si="1"/>
        <v>96012.166990583821</v>
      </c>
      <c r="H13" s="80">
        <f t="shared" si="10"/>
        <v>33280</v>
      </c>
      <c r="I13" s="80">
        <f>((C13/2000)*2000)</f>
        <v>8654.9429378531077</v>
      </c>
      <c r="J13" s="80">
        <f t="shared" si="2"/>
        <v>13794.710992843693</v>
      </c>
      <c r="K13" s="80">
        <f t="shared" si="6"/>
        <v>151741.82092128063</v>
      </c>
      <c r="L13" s="80">
        <f t="shared" si="7"/>
        <v>60364.309631198477</v>
      </c>
      <c r="M13" s="97">
        <f t="shared" si="3"/>
        <v>212106.1305524791</v>
      </c>
      <c r="N13" s="6">
        <v>8654.9429378531077</v>
      </c>
      <c r="O13" s="85">
        <f t="shared" si="4"/>
        <v>0.13799310056521305</v>
      </c>
    </row>
    <row r="14" spans="1:15" ht="15.75" x14ac:dyDescent="0.25">
      <c r="A14" s="5" t="s">
        <v>14</v>
      </c>
      <c r="B14" s="84"/>
      <c r="C14" s="6">
        <v>1189.939548022599</v>
      </c>
      <c r="D14" s="90">
        <v>2</v>
      </c>
      <c r="E14" s="188">
        <f t="shared" ref="E14" si="12">((C14/3000)*0.8)</f>
        <v>0.31731721280602643</v>
      </c>
      <c r="F14" s="80">
        <v>41600</v>
      </c>
      <c r="G14" s="80">
        <f t="shared" si="1"/>
        <v>13200.396052730699</v>
      </c>
      <c r="H14" s="80">
        <f t="shared" si="10"/>
        <v>33280</v>
      </c>
      <c r="I14" s="80">
        <v>2000</v>
      </c>
      <c r="J14" s="80">
        <f t="shared" si="2"/>
        <v>4848.0396052730703</v>
      </c>
      <c r="K14" s="80">
        <f t="shared" si="6"/>
        <v>53328.435658003771</v>
      </c>
      <c r="L14" s="80">
        <f t="shared" si="7"/>
        <v>8299.2897625113874</v>
      </c>
      <c r="M14" s="97">
        <f t="shared" si="3"/>
        <v>61627.725420515155</v>
      </c>
      <c r="N14" s="6">
        <v>1189.939548022599</v>
      </c>
      <c r="O14" s="85">
        <f t="shared" si="4"/>
        <v>1.8972216096151174E-2</v>
      </c>
    </row>
    <row r="15" spans="1:15" ht="90" x14ac:dyDescent="0.25">
      <c r="A15" s="79"/>
      <c r="B15" s="92">
        <v>1500198</v>
      </c>
      <c r="C15" s="87">
        <f>SUM(C3:C14)</f>
        <v>62720.113559322032</v>
      </c>
      <c r="D15" s="79" t="s">
        <v>157</v>
      </c>
      <c r="E15" s="85" t="s">
        <v>158</v>
      </c>
      <c r="F15" s="79" t="s">
        <v>57</v>
      </c>
      <c r="G15" s="85"/>
      <c r="H15" s="85">
        <v>0.8</v>
      </c>
      <c r="I15" s="79" t="s">
        <v>159</v>
      </c>
      <c r="J15" s="87" t="s">
        <v>36</v>
      </c>
      <c r="K15" s="93">
        <f>SUM(K3:K14)</f>
        <v>1062753.5960120528</v>
      </c>
      <c r="L15" s="93">
        <f>(B15-K15)</f>
        <v>437444.40398794715</v>
      </c>
      <c r="M15" s="98">
        <f>SUM(K15:L15)</f>
        <v>1500198</v>
      </c>
      <c r="N15" s="87">
        <f>SUM(N3:N14)</f>
        <v>62720.113559322032</v>
      </c>
      <c r="O15" s="85">
        <v>0.99999999999999989</v>
      </c>
    </row>
    <row r="16" spans="1:15" ht="120" x14ac:dyDescent="0.25">
      <c r="A16" s="79"/>
      <c r="B16" s="79"/>
      <c r="C16" s="87" t="s">
        <v>39</v>
      </c>
      <c r="D16" s="87"/>
      <c r="E16" s="85"/>
      <c r="F16" s="85"/>
      <c r="G16" s="85"/>
      <c r="H16" s="85"/>
      <c r="I16" s="87"/>
      <c r="J16" s="87"/>
      <c r="K16" s="85">
        <f>(K15/M15)</f>
        <v>0.70840888736823593</v>
      </c>
      <c r="L16" s="94" t="s">
        <v>42</v>
      </c>
      <c r="M16" s="87"/>
      <c r="N16" s="87"/>
      <c r="O16" s="95"/>
    </row>
  </sheetData>
  <mergeCells count="2">
    <mergeCell ref="N1:O1"/>
    <mergeCell ref="E1:J1"/>
  </mergeCells>
  <pageMargins left="0.7" right="0.7" top="0.75" bottom="0.75" header="0.3" footer="0.3"/>
  <pageSetup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1BB16-EADA-4E74-A9D1-4B3856AFA223}">
  <dimension ref="A1:N74"/>
  <sheetViews>
    <sheetView workbookViewId="0">
      <selection activeCell="N3" sqref="N3:N16"/>
    </sheetView>
  </sheetViews>
  <sheetFormatPr defaultColWidth="9.140625" defaultRowHeight="15.75" x14ac:dyDescent="0.25"/>
  <cols>
    <col min="1" max="1" width="18.28515625" style="19" customWidth="1"/>
    <col min="2" max="2" width="17.42578125" style="19" customWidth="1"/>
    <col min="3" max="3" width="13.85546875" style="19" customWidth="1"/>
    <col min="4" max="4" width="16.28515625" style="19" customWidth="1"/>
    <col min="5" max="6" width="16" style="19" customWidth="1"/>
    <col min="7" max="7" width="18.85546875" style="19" customWidth="1"/>
    <col min="8" max="8" width="17.140625" style="20" customWidth="1"/>
    <col min="9" max="9" width="17.85546875" style="19" customWidth="1"/>
    <col min="10" max="10" width="9.140625" style="19"/>
    <col min="11" max="11" width="15.5703125" style="19" customWidth="1"/>
    <col min="12" max="12" width="15.85546875" style="19" customWidth="1"/>
    <col min="13" max="13" width="16" style="19" customWidth="1"/>
    <col min="14" max="14" width="19.42578125" style="19" customWidth="1"/>
    <col min="15" max="16384" width="9.140625" style="19"/>
  </cols>
  <sheetData>
    <row r="1" spans="1:14" x14ac:dyDescent="0.25">
      <c r="A1" s="17" t="s">
        <v>16</v>
      </c>
      <c r="B1" s="17" t="s">
        <v>17</v>
      </c>
      <c r="C1" s="17" t="s">
        <v>18</v>
      </c>
      <c r="D1" s="102" t="s">
        <v>19</v>
      </c>
      <c r="E1" s="18"/>
      <c r="F1" s="17" t="s">
        <v>16</v>
      </c>
      <c r="G1" s="17" t="s">
        <v>17</v>
      </c>
      <c r="H1" s="17" t="s">
        <v>18</v>
      </c>
      <c r="I1" s="102" t="s">
        <v>19</v>
      </c>
      <c r="K1" s="17" t="s">
        <v>16</v>
      </c>
      <c r="L1" s="17" t="s">
        <v>17</v>
      </c>
      <c r="M1" s="17" t="s">
        <v>18</v>
      </c>
      <c r="N1" s="102" t="s">
        <v>19</v>
      </c>
    </row>
    <row r="2" spans="1:14" x14ac:dyDescent="0.25">
      <c r="B2" s="21"/>
      <c r="C2" s="21"/>
      <c r="D2" s="103"/>
      <c r="E2" s="22"/>
      <c r="G2" s="21"/>
      <c r="H2" s="21"/>
      <c r="I2" s="103"/>
      <c r="L2" s="21"/>
      <c r="M2" s="21"/>
      <c r="N2" s="103"/>
    </row>
    <row r="3" spans="1:14" x14ac:dyDescent="0.25">
      <c r="A3" s="19" t="s">
        <v>3</v>
      </c>
      <c r="B3" s="24">
        <f>(C21/12)</f>
        <v>62508.166666666664</v>
      </c>
      <c r="C3" s="24">
        <f>(C25*$C$21)</f>
        <v>10278.639667587509</v>
      </c>
      <c r="D3" s="104">
        <f>SUM(B3:C3)</f>
        <v>72786.806334254172</v>
      </c>
      <c r="E3" s="25"/>
      <c r="F3" s="19" t="s">
        <v>3</v>
      </c>
      <c r="G3" s="24">
        <f>(H21/11)</f>
        <v>68190.727272727279</v>
      </c>
      <c r="H3" s="24">
        <v>10278.639667587509</v>
      </c>
      <c r="I3" s="104">
        <f>SUM(G3:H3)</f>
        <v>78469.366940314794</v>
      </c>
      <c r="K3" s="19" t="s">
        <v>3</v>
      </c>
      <c r="L3" s="24">
        <f>(M21/12)</f>
        <v>62508.166666666664</v>
      </c>
      <c r="M3" s="24">
        <f>(M25*$C$21)</f>
        <v>12031.130205648164</v>
      </c>
      <c r="N3" s="104">
        <f>SUM(L3:M3)</f>
        <v>74539.296872314822</v>
      </c>
    </row>
    <row r="4" spans="1:14" x14ac:dyDescent="0.25">
      <c r="A4" s="19" t="s">
        <v>4</v>
      </c>
      <c r="B4" s="24">
        <f>(C21/12)</f>
        <v>62508.166666666664</v>
      </c>
      <c r="C4" s="24">
        <f t="shared" ref="C4:C14" si="0">(C26*$C$21)</f>
        <v>16470.296419729508</v>
      </c>
      <c r="D4" s="104">
        <f t="shared" ref="D4:D14" si="1">SUM(B4:C4)</f>
        <v>78978.463086396165</v>
      </c>
      <c r="E4" s="25"/>
      <c r="F4" s="19" t="s">
        <v>4</v>
      </c>
      <c r="G4" s="24">
        <v>68190.73</v>
      </c>
      <c r="H4" s="24">
        <v>16470.296419729508</v>
      </c>
      <c r="I4" s="104">
        <f t="shared" ref="I4:I5" si="2">SUM(G4:H4)</f>
        <v>84661.026419729504</v>
      </c>
      <c r="K4" s="19" t="s">
        <v>4</v>
      </c>
      <c r="L4" s="24">
        <f>(M21/12)</f>
        <v>62508.166666666664</v>
      </c>
      <c r="M4" s="24">
        <f t="shared" ref="M4:M14" si="3">(M26*$C$21)</f>
        <v>19278.453877145748</v>
      </c>
      <c r="N4" s="104">
        <f t="shared" ref="N4:N5" si="4">SUM(L4:M4)</f>
        <v>81786.620543812416</v>
      </c>
    </row>
    <row r="5" spans="1:14" x14ac:dyDescent="0.25">
      <c r="A5" s="19" t="s">
        <v>5</v>
      </c>
      <c r="B5" s="24">
        <f>(C21/12)</f>
        <v>62508.166666666664</v>
      </c>
      <c r="C5" s="24">
        <f t="shared" si="0"/>
        <v>13141.975003558318</v>
      </c>
      <c r="D5" s="104">
        <f t="shared" si="1"/>
        <v>75650.141670224984</v>
      </c>
      <c r="E5" s="25"/>
      <c r="F5" s="19" t="s">
        <v>5</v>
      </c>
      <c r="G5" s="24">
        <v>68190.73</v>
      </c>
      <c r="H5" s="24">
        <v>13141.975003558318</v>
      </c>
      <c r="I5" s="104">
        <f t="shared" si="2"/>
        <v>81332.705003558309</v>
      </c>
      <c r="K5" s="19" t="s">
        <v>5</v>
      </c>
      <c r="L5" s="24">
        <f>(M21/12)</f>
        <v>62508.166666666664</v>
      </c>
      <c r="M5" s="24">
        <f t="shared" si="3"/>
        <v>15382.659334364438</v>
      </c>
      <c r="N5" s="104">
        <f t="shared" si="4"/>
        <v>77890.826001031106</v>
      </c>
    </row>
    <row r="6" spans="1:14" x14ac:dyDescent="0.25">
      <c r="A6" s="19" t="s">
        <v>6</v>
      </c>
      <c r="B6" s="24">
        <f>(C21/12)</f>
        <v>62508.166666666664</v>
      </c>
      <c r="C6" s="24">
        <f t="shared" si="0"/>
        <v>4613.1513746196324</v>
      </c>
      <c r="D6" s="104">
        <f>SUM(B6:C6)</f>
        <v>67121.3180412863</v>
      </c>
      <c r="E6" s="22"/>
      <c r="F6" s="19" t="s">
        <v>6</v>
      </c>
      <c r="G6" s="24">
        <v>68190.73</v>
      </c>
      <c r="H6" s="24">
        <v>4613.1513746196324</v>
      </c>
      <c r="I6" s="104">
        <f>SUM(G6:H6)</f>
        <v>72803.881374619625</v>
      </c>
      <c r="K6" s="19" t="s">
        <v>6</v>
      </c>
      <c r="L6" s="24">
        <f>(M21/12)</f>
        <v>62508.166666666664</v>
      </c>
      <c r="M6" s="24">
        <f t="shared" si="3"/>
        <v>5399.6858184873308</v>
      </c>
      <c r="N6" s="104">
        <f>SUM(L6:M6)</f>
        <v>67907.852485153999</v>
      </c>
    </row>
    <row r="7" spans="1:14" ht="31.5" x14ac:dyDescent="0.25">
      <c r="A7" s="19" t="s">
        <v>20</v>
      </c>
      <c r="B7" s="24">
        <f>(C21/12)</f>
        <v>62508.166666666664</v>
      </c>
      <c r="C7" s="24">
        <f t="shared" si="0"/>
        <v>109261.52615330303</v>
      </c>
      <c r="D7" s="104">
        <f t="shared" si="1"/>
        <v>171769.6928199697</v>
      </c>
      <c r="E7" s="26"/>
      <c r="F7" s="19" t="s">
        <v>20</v>
      </c>
      <c r="G7" s="24">
        <v>0</v>
      </c>
      <c r="H7" s="24">
        <v>109261.52615330303</v>
      </c>
      <c r="I7" s="104">
        <f t="shared" ref="I7:I11" si="5">SUM(G7:H7)</f>
        <v>109261.52615330303</v>
      </c>
      <c r="K7" s="19" t="s">
        <v>20</v>
      </c>
      <c r="L7" s="24">
        <f>(M21/12)</f>
        <v>62508.166666666664</v>
      </c>
      <c r="M7" s="24">
        <f t="shared" si="3"/>
        <v>0</v>
      </c>
      <c r="N7" s="104">
        <f t="shared" ref="N7:N11" si="6">SUM(L7:M7)</f>
        <v>62508.166666666664</v>
      </c>
    </row>
    <row r="8" spans="1:14" ht="31.5" x14ac:dyDescent="0.25">
      <c r="A8" s="19" t="s">
        <v>8</v>
      </c>
      <c r="B8" s="24">
        <f>(C21/12)</f>
        <v>62508.166666666664</v>
      </c>
      <c r="C8" s="24">
        <f t="shared" si="0"/>
        <v>144708.56274867847</v>
      </c>
      <c r="D8" s="104">
        <f t="shared" si="1"/>
        <v>207216.72941534512</v>
      </c>
      <c r="F8" s="19" t="s">
        <v>8</v>
      </c>
      <c r="G8" s="24">
        <v>68190.73</v>
      </c>
      <c r="H8" s="24">
        <v>144708.56274867847</v>
      </c>
      <c r="I8" s="104">
        <f t="shared" si="5"/>
        <v>212899.29274867848</v>
      </c>
      <c r="K8" s="19" t="s">
        <v>8</v>
      </c>
      <c r="L8" s="24">
        <f>(M21/12)</f>
        <v>62508.166666666664</v>
      </c>
      <c r="M8" s="24">
        <f t="shared" si="3"/>
        <v>169381.12596666094</v>
      </c>
      <c r="N8" s="104">
        <f t="shared" si="6"/>
        <v>231889.2926333276</v>
      </c>
    </row>
    <row r="9" spans="1:14" x14ac:dyDescent="0.25">
      <c r="A9" s="19" t="s">
        <v>9</v>
      </c>
      <c r="B9" s="24">
        <f>(C21/12)</f>
        <v>62508.166666666664</v>
      </c>
      <c r="C9" s="24">
        <f t="shared" si="0"/>
        <v>270903.3376199046</v>
      </c>
      <c r="D9" s="104">
        <f t="shared" si="1"/>
        <v>333411.50428657129</v>
      </c>
      <c r="F9" s="19" t="s">
        <v>9</v>
      </c>
      <c r="G9" s="24">
        <v>68190.73</v>
      </c>
      <c r="H9" s="24">
        <v>270903.3376199046</v>
      </c>
      <c r="I9" s="104">
        <f t="shared" si="5"/>
        <v>339094.06761990458</v>
      </c>
      <c r="K9" s="19" t="s">
        <v>9</v>
      </c>
      <c r="L9" s="24">
        <f>(M21/12)</f>
        <v>62508.166666666664</v>
      </c>
      <c r="M9" s="24">
        <f t="shared" si="3"/>
        <v>317091.89478910086</v>
      </c>
      <c r="N9" s="104">
        <f t="shared" si="6"/>
        <v>379600.06145576754</v>
      </c>
    </row>
    <row r="10" spans="1:14" x14ac:dyDescent="0.25">
      <c r="A10" s="19" t="s">
        <v>10</v>
      </c>
      <c r="B10" s="24">
        <f>(C21/12)</f>
        <v>62508.166666666664</v>
      </c>
      <c r="C10" s="24">
        <f t="shared" si="0"/>
        <v>24399.532734725588</v>
      </c>
      <c r="D10" s="104">
        <f t="shared" si="1"/>
        <v>86907.699401392252</v>
      </c>
      <c r="F10" s="19" t="s">
        <v>10</v>
      </c>
      <c r="G10" s="24">
        <v>68190.73</v>
      </c>
      <c r="H10" s="24">
        <v>24399.532734725588</v>
      </c>
      <c r="I10" s="104">
        <f t="shared" si="5"/>
        <v>92590.262734725577</v>
      </c>
      <c r="K10" s="19" t="s">
        <v>10</v>
      </c>
      <c r="L10" s="24">
        <f>(M21/12)</f>
        <v>62508.166666666664</v>
      </c>
      <c r="M10" s="24">
        <f t="shared" si="3"/>
        <v>28559.611464360045</v>
      </c>
      <c r="N10" s="104">
        <f t="shared" si="6"/>
        <v>91067.778131026716</v>
      </c>
    </row>
    <row r="11" spans="1:14" x14ac:dyDescent="0.25">
      <c r="A11" s="19" t="s">
        <v>11</v>
      </c>
      <c r="B11" s="24">
        <f>(C21/12)</f>
        <v>62508.166666666664</v>
      </c>
      <c r="C11" s="24">
        <f t="shared" si="0"/>
        <v>34837.246587644811</v>
      </c>
      <c r="D11" s="104">
        <f t="shared" si="1"/>
        <v>97345.413254311483</v>
      </c>
      <c r="F11" s="19" t="s">
        <v>11</v>
      </c>
      <c r="G11" s="24">
        <v>68190.73</v>
      </c>
      <c r="H11" s="24">
        <v>34837.246587644811</v>
      </c>
      <c r="I11" s="104">
        <f t="shared" si="5"/>
        <v>103027.97658764481</v>
      </c>
      <c r="K11" s="19" t="s">
        <v>11</v>
      </c>
      <c r="L11" s="24">
        <f>(M21/12)</f>
        <v>62508.166666666664</v>
      </c>
      <c r="M11" s="24">
        <f t="shared" si="3"/>
        <v>40776.937732714672</v>
      </c>
      <c r="N11" s="104">
        <f t="shared" si="6"/>
        <v>103285.10439938134</v>
      </c>
    </row>
    <row r="12" spans="1:14" x14ac:dyDescent="0.25">
      <c r="A12" s="19" t="s">
        <v>12</v>
      </c>
      <c r="B12" s="24">
        <f>(C21/12)</f>
        <v>62508.166666666664</v>
      </c>
      <c r="C12" s="24">
        <f t="shared" si="0"/>
        <v>3744.3615931925924</v>
      </c>
      <c r="D12" s="104">
        <f>SUM(B12:C12)</f>
        <v>66252.52825985926</v>
      </c>
      <c r="F12" s="19" t="s">
        <v>12</v>
      </c>
      <c r="G12" s="24">
        <v>68190.73</v>
      </c>
      <c r="H12" s="24">
        <v>3744.3615931925924</v>
      </c>
      <c r="I12" s="104">
        <f>SUM(G12:H12)</f>
        <v>71935.091593192585</v>
      </c>
      <c r="K12" s="19" t="s">
        <v>12</v>
      </c>
      <c r="L12" s="24">
        <f>(M21/12)</f>
        <v>62508.166666666664</v>
      </c>
      <c r="M12" s="24">
        <f t="shared" si="3"/>
        <v>4382.7688606289739</v>
      </c>
      <c r="N12" s="104">
        <f>SUM(L12:M12)</f>
        <v>66890.935527295631</v>
      </c>
    </row>
    <row r="13" spans="1:14" x14ac:dyDescent="0.25">
      <c r="A13" s="19" t="s">
        <v>13</v>
      </c>
      <c r="B13" s="24">
        <f>(C21/12)</f>
        <v>62508.166666666664</v>
      </c>
      <c r="C13" s="24">
        <f t="shared" si="0"/>
        <v>103508.34874776518</v>
      </c>
      <c r="D13" s="104">
        <f t="shared" si="1"/>
        <v>166016.51541443184</v>
      </c>
      <c r="F13" s="19" t="s">
        <v>13</v>
      </c>
      <c r="G13" s="24">
        <v>68190.73</v>
      </c>
      <c r="H13" s="24">
        <v>103508.34874776518</v>
      </c>
      <c r="I13" s="104">
        <f t="shared" ref="I13:I14" si="7">SUM(G13:H13)</f>
        <v>171699.07874776516</v>
      </c>
      <c r="K13" s="19" t="s">
        <v>13</v>
      </c>
      <c r="L13" s="24">
        <f>(M21/12)</f>
        <v>62508.166666666664</v>
      </c>
      <c r="M13" s="24">
        <f t="shared" si="3"/>
        <v>121156.34572568789</v>
      </c>
      <c r="N13" s="104">
        <f t="shared" ref="N13:N14" si="8">SUM(L13:M13)</f>
        <v>183664.51239235455</v>
      </c>
    </row>
    <row r="14" spans="1:14" x14ac:dyDescent="0.25">
      <c r="A14" s="19" t="s">
        <v>14</v>
      </c>
      <c r="B14" s="24">
        <f>(C21/12)</f>
        <v>62508.166666666664</v>
      </c>
      <c r="C14" s="24">
        <f t="shared" si="0"/>
        <v>14231.021349290802</v>
      </c>
      <c r="D14" s="104">
        <f t="shared" si="1"/>
        <v>76739.188015957465</v>
      </c>
      <c r="F14" s="19" t="s">
        <v>14</v>
      </c>
      <c r="G14" s="24">
        <v>68190.73</v>
      </c>
      <c r="H14" s="24">
        <v>14231.021349290802</v>
      </c>
      <c r="I14" s="104">
        <f t="shared" si="7"/>
        <v>82421.751349290804</v>
      </c>
      <c r="K14" s="19" t="s">
        <v>14</v>
      </c>
      <c r="L14" s="24">
        <f>(M21/12)</f>
        <v>62508.166666666664</v>
      </c>
      <c r="M14" s="24">
        <f t="shared" si="3"/>
        <v>16657.386225200971</v>
      </c>
      <c r="N14" s="104">
        <f t="shared" si="8"/>
        <v>79165.552891867643</v>
      </c>
    </row>
    <row r="15" spans="1:14" x14ac:dyDescent="0.25">
      <c r="B15" s="24"/>
      <c r="C15" s="24"/>
      <c r="D15" s="104"/>
      <c r="G15" s="24"/>
      <c r="H15" s="24"/>
      <c r="I15" s="104"/>
      <c r="L15" s="24"/>
      <c r="M15" s="24"/>
      <c r="N15" s="104"/>
    </row>
    <row r="16" spans="1:14" x14ac:dyDescent="0.25">
      <c r="A16" s="19" t="s">
        <v>19</v>
      </c>
      <c r="B16" s="27">
        <f>SUM(B3:B14)</f>
        <v>750097.99999999988</v>
      </c>
      <c r="C16" s="27">
        <f>SUM(C3:C14)</f>
        <v>750098.00000000012</v>
      </c>
      <c r="D16" s="105">
        <f>SUM(D3:D14)</f>
        <v>1500196</v>
      </c>
      <c r="F16" s="19" t="s">
        <v>19</v>
      </c>
      <c r="G16" s="27">
        <f>SUM(G3:G14)</f>
        <v>750098.02727272711</v>
      </c>
      <c r="H16" s="27">
        <f>SUM(H3:H14)</f>
        <v>750098.00000000012</v>
      </c>
      <c r="I16" s="105">
        <f>SUM(I3:I14)</f>
        <v>1500196.0272727273</v>
      </c>
      <c r="K16" s="19" t="s">
        <v>19</v>
      </c>
      <c r="L16" s="27">
        <f>SUM(L3:L14)</f>
        <v>750097.99999999988</v>
      </c>
      <c r="M16" s="27">
        <f>SUM(M3:M14)</f>
        <v>750098</v>
      </c>
      <c r="N16" s="105">
        <f>SUM(N3:N14)</f>
        <v>1500196</v>
      </c>
    </row>
    <row r="17" spans="1:13" x14ac:dyDescent="0.25">
      <c r="H17" s="19"/>
    </row>
    <row r="18" spans="1:13" x14ac:dyDescent="0.25">
      <c r="H18" s="19"/>
    </row>
    <row r="19" spans="1:13" x14ac:dyDescent="0.25">
      <c r="A19" s="28" t="s">
        <v>21</v>
      </c>
      <c r="B19" s="23">
        <v>1875245</v>
      </c>
      <c r="F19" s="28" t="s">
        <v>21</v>
      </c>
      <c r="G19" s="23">
        <v>1875245</v>
      </c>
      <c r="H19" s="19"/>
      <c r="K19" s="28" t="s">
        <v>21</v>
      </c>
      <c r="L19" s="23">
        <v>1875245</v>
      </c>
    </row>
    <row r="20" spans="1:13" x14ac:dyDescent="0.25">
      <c r="A20" s="28" t="s">
        <v>22</v>
      </c>
      <c r="B20" s="23">
        <f>ROUND((+B19*0.2),2)</f>
        <v>375049</v>
      </c>
      <c r="F20" s="28" t="s">
        <v>22</v>
      </c>
      <c r="G20" s="23">
        <f>ROUND((+G19*0.2),2)</f>
        <v>375049</v>
      </c>
      <c r="H20" s="19"/>
      <c r="K20" s="28" t="s">
        <v>22</v>
      </c>
      <c r="L20" s="23">
        <f>ROUND((+L19*0.2),2)</f>
        <v>375049</v>
      </c>
    </row>
    <row r="21" spans="1:13" ht="31.5" x14ac:dyDescent="0.25">
      <c r="A21" s="28" t="s">
        <v>23</v>
      </c>
      <c r="B21" s="23">
        <f>ROUND((B19*0.8),2)</f>
        <v>1500196</v>
      </c>
      <c r="C21" s="21">
        <f>(B21/2)</f>
        <v>750098</v>
      </c>
      <c r="F21" s="28" t="s">
        <v>23</v>
      </c>
      <c r="G21" s="23">
        <f>ROUND((G19*0.8),2)</f>
        <v>1500196</v>
      </c>
      <c r="H21" s="21">
        <f>(G21/2)</f>
        <v>750098</v>
      </c>
      <c r="K21" s="28" t="s">
        <v>23</v>
      </c>
      <c r="L21" s="23">
        <f>ROUND((L19*0.8),2)</f>
        <v>1500196</v>
      </c>
      <c r="M21" s="21">
        <f>(L21/2)</f>
        <v>750098</v>
      </c>
    </row>
    <row r="22" spans="1:13" x14ac:dyDescent="0.25">
      <c r="F22" s="29"/>
    </row>
    <row r="23" spans="1:13" x14ac:dyDescent="0.25">
      <c r="F23" s="29"/>
    </row>
    <row r="24" spans="1:13" ht="60" x14ac:dyDescent="0.25">
      <c r="A24" s="38"/>
      <c r="B24" s="79" t="s">
        <v>44</v>
      </c>
      <c r="C24" s="81" t="s">
        <v>43</v>
      </c>
      <c r="D24" s="38"/>
      <c r="E24" s="29"/>
      <c r="G24" s="20"/>
      <c r="H24" s="19"/>
      <c r="L24" s="79" t="s">
        <v>44</v>
      </c>
      <c r="M24" s="81" t="s">
        <v>43</v>
      </c>
    </row>
    <row r="25" spans="1:13" x14ac:dyDescent="0.25">
      <c r="A25" s="19" t="s">
        <v>3</v>
      </c>
      <c r="B25" s="6">
        <v>859.45762711864404</v>
      </c>
      <c r="C25" s="85">
        <f>(B25/$B$37)</f>
        <v>1.3703062356635412E-2</v>
      </c>
      <c r="D25" s="30"/>
      <c r="E25" s="29"/>
      <c r="G25" s="20"/>
      <c r="H25" s="19"/>
      <c r="L25" s="6">
        <v>859.45762711864404</v>
      </c>
      <c r="M25" s="85">
        <f>(L25/$L$37)</f>
        <v>1.6039411124477286E-2</v>
      </c>
    </row>
    <row r="26" spans="1:13" x14ac:dyDescent="0.25">
      <c r="A26" s="19" t="s">
        <v>4</v>
      </c>
      <c r="B26" s="6">
        <v>1377.1785310734463</v>
      </c>
      <c r="C26" s="85">
        <f t="shared" ref="C26:C36" si="9">(B26/$B$37)</f>
        <v>2.1957526109561028E-2</v>
      </c>
      <c r="D26" s="32"/>
      <c r="E26" s="29"/>
      <c r="G26" s="20"/>
      <c r="H26" s="19"/>
      <c r="L26" s="6">
        <v>1377.1785310734463</v>
      </c>
      <c r="M26" s="85">
        <f t="shared" ref="M26:M36" si="10">(L26/$L$37)</f>
        <v>2.5701246873269558E-2</v>
      </c>
    </row>
    <row r="27" spans="1:13" x14ac:dyDescent="0.25">
      <c r="A27" s="19" t="s">
        <v>5</v>
      </c>
      <c r="B27" s="6">
        <v>1098.8779661016949</v>
      </c>
      <c r="C27" s="85">
        <f t="shared" si="9"/>
        <v>1.7520344013126708E-2</v>
      </c>
      <c r="D27" s="32"/>
      <c r="E27" s="29"/>
      <c r="G27" s="20"/>
      <c r="H27" s="19"/>
      <c r="L27" s="6">
        <v>1098.8779661016949</v>
      </c>
      <c r="M27" s="85">
        <f t="shared" si="10"/>
        <v>2.0507532794867389E-2</v>
      </c>
    </row>
    <row r="28" spans="1:13" x14ac:dyDescent="0.25">
      <c r="A28" s="19" t="s">
        <v>6</v>
      </c>
      <c r="B28" s="6">
        <v>385.73276836158192</v>
      </c>
      <c r="C28" s="85">
        <f t="shared" si="9"/>
        <v>6.1500648910137509E-3</v>
      </c>
      <c r="D28" s="32"/>
      <c r="E28" s="29"/>
      <c r="G28" s="20"/>
      <c r="H28" s="19"/>
      <c r="L28" s="6">
        <v>385.73276836158192</v>
      </c>
      <c r="M28" s="85">
        <f t="shared" si="10"/>
        <v>7.1986404689618304E-3</v>
      </c>
    </row>
    <row r="29" spans="1:13" x14ac:dyDescent="0.25">
      <c r="A29" s="19" t="s">
        <v>20</v>
      </c>
      <c r="B29" s="89">
        <v>9136</v>
      </c>
      <c r="C29" s="85">
        <f t="shared" si="9"/>
        <v>0.14566300157219861</v>
      </c>
      <c r="D29" s="32"/>
      <c r="E29" s="29"/>
      <c r="G29" s="20"/>
      <c r="H29" s="19"/>
      <c r="L29" s="89">
        <v>0</v>
      </c>
      <c r="M29" s="85">
        <f t="shared" si="10"/>
        <v>0</v>
      </c>
    </row>
    <row r="30" spans="1:13" x14ac:dyDescent="0.25">
      <c r="A30" s="19" t="s">
        <v>8</v>
      </c>
      <c r="B30" s="6">
        <v>12099.93559322034</v>
      </c>
      <c r="C30" s="85">
        <f t="shared" si="9"/>
        <v>0.19291954217806001</v>
      </c>
      <c r="D30" s="32"/>
      <c r="E30" s="29"/>
      <c r="G30" s="20"/>
      <c r="H30" s="19"/>
      <c r="L30" s="6">
        <v>12099.93559322034</v>
      </c>
      <c r="M30" s="85">
        <f t="shared" si="10"/>
        <v>0.22581199518817668</v>
      </c>
    </row>
    <row r="31" spans="1:13" x14ac:dyDescent="0.25">
      <c r="A31" s="19" t="s">
        <v>9</v>
      </c>
      <c r="B31" s="6">
        <v>22651.82429378531</v>
      </c>
      <c r="C31" s="85">
        <f t="shared" si="9"/>
        <v>0.36115725894470402</v>
      </c>
      <c r="D31" s="32"/>
      <c r="E31" s="29"/>
      <c r="G31" s="20"/>
      <c r="H31" s="19"/>
      <c r="L31" s="6">
        <v>22651.82429378531</v>
      </c>
      <c r="M31" s="85">
        <f t="shared" si="10"/>
        <v>0.42273395581524126</v>
      </c>
    </row>
    <row r="32" spans="1:13" x14ac:dyDescent="0.25">
      <c r="A32" s="19" t="s">
        <v>10</v>
      </c>
      <c r="B32" s="6">
        <v>2040.1887005649717</v>
      </c>
      <c r="C32" s="85">
        <f t="shared" si="9"/>
        <v>3.2528459927536918E-2</v>
      </c>
      <c r="D32" s="32"/>
      <c r="E32" s="29"/>
      <c r="G32" s="20"/>
      <c r="H32" s="19"/>
      <c r="L32" s="6">
        <v>2040.1887005649717</v>
      </c>
      <c r="M32" s="85">
        <f t="shared" si="10"/>
        <v>3.8074506883580606E-2</v>
      </c>
    </row>
    <row r="33" spans="1:13" x14ac:dyDescent="0.25">
      <c r="A33" s="19" t="s">
        <v>11</v>
      </c>
      <c r="B33" s="6">
        <v>2912.9474576271186</v>
      </c>
      <c r="C33" s="85">
        <f t="shared" si="9"/>
        <v>4.6443593487310739E-2</v>
      </c>
      <c r="D33" s="32"/>
      <c r="E33" s="29"/>
      <c r="H33" s="19"/>
      <c r="L33" s="6">
        <v>2912.9474576271186</v>
      </c>
      <c r="M33" s="85">
        <f t="shared" si="10"/>
        <v>5.4362146989746236E-2</v>
      </c>
    </row>
    <row r="34" spans="1:13" x14ac:dyDescent="0.25">
      <c r="A34" s="19" t="s">
        <v>12</v>
      </c>
      <c r="B34" s="6">
        <v>313.08813559322033</v>
      </c>
      <c r="C34" s="85">
        <f t="shared" si="9"/>
        <v>4.9918298584886141E-3</v>
      </c>
      <c r="D34" s="32"/>
      <c r="H34" s="19"/>
      <c r="L34" s="6">
        <v>313.08813559322033</v>
      </c>
      <c r="M34" s="85">
        <f t="shared" si="10"/>
        <v>5.8429283382024407E-3</v>
      </c>
    </row>
    <row r="35" spans="1:13" x14ac:dyDescent="0.25">
      <c r="A35" s="19" t="s">
        <v>13</v>
      </c>
      <c r="B35" s="6">
        <v>8654.9429378531077</v>
      </c>
      <c r="C35" s="85">
        <f t="shared" si="9"/>
        <v>0.13799310056521305</v>
      </c>
      <c r="D35" s="32"/>
      <c r="H35" s="19"/>
      <c r="L35" s="6">
        <v>8654.9429378531077</v>
      </c>
      <c r="M35" s="85">
        <f t="shared" si="10"/>
        <v>0.16152068893089688</v>
      </c>
    </row>
    <row r="36" spans="1:13" x14ac:dyDescent="0.25">
      <c r="A36" s="101" t="s">
        <v>14</v>
      </c>
      <c r="B36" s="6">
        <v>1189.939548022599</v>
      </c>
      <c r="C36" s="85">
        <f t="shared" si="9"/>
        <v>1.8972216096151174E-2</v>
      </c>
      <c r="D36" s="32"/>
      <c r="H36" s="19"/>
      <c r="L36" s="6">
        <v>1189.939548022599</v>
      </c>
      <c r="M36" s="85">
        <f t="shared" si="10"/>
        <v>2.2206946592579865E-2</v>
      </c>
    </row>
    <row r="37" spans="1:13" x14ac:dyDescent="0.25">
      <c r="A37" s="33" t="s">
        <v>19</v>
      </c>
      <c r="B37" s="99">
        <f>SUM(B25:B36)</f>
        <v>62720.113559322032</v>
      </c>
      <c r="C37" s="100">
        <f>SUM(C25:C36)</f>
        <v>1</v>
      </c>
      <c r="D37" s="34"/>
      <c r="H37" s="19"/>
      <c r="L37" s="87">
        <f>SUM(L25:L36)</f>
        <v>53584.113559322032</v>
      </c>
      <c r="M37" s="85">
        <f>SUM(M25:M36)</f>
        <v>1.0000000000000002</v>
      </c>
    </row>
    <row r="38" spans="1:13" x14ac:dyDescent="0.25">
      <c r="A38" s="30"/>
      <c r="B38" s="35"/>
      <c r="C38" s="31"/>
      <c r="D38" s="32"/>
      <c r="H38" s="19"/>
    </row>
    <row r="39" spans="1:13" x14ac:dyDescent="0.25">
      <c r="A39" s="30"/>
      <c r="B39" s="30"/>
      <c r="C39" s="30"/>
      <c r="D39" s="30"/>
      <c r="H39" s="19"/>
    </row>
    <row r="40" spans="1:13" x14ac:dyDescent="0.25">
      <c r="A40" s="36"/>
      <c r="B40" s="31"/>
      <c r="C40" s="30"/>
      <c r="D40" s="30"/>
      <c r="H40" s="19"/>
    </row>
    <row r="41" spans="1:13" x14ac:dyDescent="0.25">
      <c r="A41" s="30"/>
      <c r="B41" s="31"/>
      <c r="C41" s="30"/>
      <c r="D41" s="30"/>
      <c r="H41" s="19"/>
    </row>
    <row r="42" spans="1:13" x14ac:dyDescent="0.25">
      <c r="A42" s="30"/>
      <c r="B42" s="31"/>
      <c r="C42" s="30"/>
      <c r="D42" s="30"/>
      <c r="H42" s="19"/>
    </row>
    <row r="43" spans="1:13" x14ac:dyDescent="0.25">
      <c r="A43" s="30"/>
      <c r="B43" s="31"/>
      <c r="C43" s="30"/>
      <c r="D43" s="30"/>
      <c r="H43" s="19"/>
    </row>
    <row r="47" spans="1:13" x14ac:dyDescent="0.25">
      <c r="A47" s="37" t="s">
        <v>24</v>
      </c>
      <c r="H47" s="19"/>
    </row>
    <row r="55" spans="1:4" x14ac:dyDescent="0.25">
      <c r="A55" s="38"/>
      <c r="B55" s="38"/>
      <c r="C55" s="38"/>
      <c r="D55" s="38"/>
    </row>
    <row r="56" spans="1:4" x14ac:dyDescent="0.25">
      <c r="A56" s="30"/>
      <c r="B56" s="30"/>
      <c r="C56" s="30"/>
      <c r="D56" s="30"/>
    </row>
    <row r="57" spans="1:4" x14ac:dyDescent="0.25">
      <c r="A57" s="30"/>
      <c r="B57" s="16"/>
      <c r="C57" s="31"/>
      <c r="D57" s="32"/>
    </row>
    <row r="58" spans="1:4" x14ac:dyDescent="0.25">
      <c r="A58" s="30"/>
      <c r="B58" s="16"/>
      <c r="C58" s="31"/>
      <c r="D58" s="32"/>
    </row>
    <row r="59" spans="1:4" x14ac:dyDescent="0.25">
      <c r="A59" s="30"/>
      <c r="B59" s="16"/>
      <c r="C59" s="31"/>
      <c r="D59" s="32"/>
    </row>
    <row r="60" spans="1:4" x14ac:dyDescent="0.25">
      <c r="A60" s="30"/>
      <c r="B60" s="16"/>
      <c r="C60" s="31"/>
      <c r="D60" s="32"/>
    </row>
    <row r="61" spans="1:4" x14ac:dyDescent="0.25">
      <c r="A61" s="30"/>
      <c r="B61" s="16"/>
      <c r="C61" s="31"/>
      <c r="D61" s="32"/>
    </row>
    <row r="62" spans="1:4" x14ac:dyDescent="0.25">
      <c r="A62" s="30"/>
      <c r="B62" s="16"/>
      <c r="C62" s="31"/>
      <c r="D62" s="32"/>
    </row>
    <row r="63" spans="1:4" x14ac:dyDescent="0.25">
      <c r="A63" s="30"/>
      <c r="B63" s="16"/>
      <c r="C63" s="31"/>
      <c r="D63" s="32"/>
    </row>
    <row r="64" spans="1:4" x14ac:dyDescent="0.25">
      <c r="A64" s="30"/>
      <c r="B64" s="16"/>
      <c r="C64" s="31"/>
      <c r="D64" s="32"/>
    </row>
    <row r="65" spans="1:4" x14ac:dyDescent="0.25">
      <c r="A65" s="30"/>
      <c r="B65" s="16"/>
      <c r="C65" s="31"/>
      <c r="D65" s="32"/>
    </row>
    <row r="66" spans="1:4" x14ac:dyDescent="0.25">
      <c r="A66" s="30"/>
      <c r="B66" s="16"/>
      <c r="C66" s="31"/>
      <c r="D66" s="32"/>
    </row>
    <row r="67" spans="1:4" x14ac:dyDescent="0.25">
      <c r="A67" s="30"/>
      <c r="B67" s="16"/>
      <c r="C67" s="31"/>
      <c r="D67" s="32"/>
    </row>
    <row r="68" spans="1:4" x14ac:dyDescent="0.25">
      <c r="A68" s="30"/>
      <c r="B68" s="16"/>
      <c r="C68" s="31"/>
      <c r="D68" s="32"/>
    </row>
    <row r="69" spans="1:4" x14ac:dyDescent="0.25">
      <c r="A69" s="30"/>
      <c r="B69" s="31"/>
      <c r="C69" s="31"/>
      <c r="D69" s="32"/>
    </row>
    <row r="70" spans="1:4" x14ac:dyDescent="0.25">
      <c r="A70" s="30"/>
      <c r="B70" s="30"/>
      <c r="C70" s="30"/>
      <c r="D70" s="30"/>
    </row>
    <row r="71" spans="1:4" x14ac:dyDescent="0.25">
      <c r="A71" s="36"/>
      <c r="B71" s="31"/>
      <c r="C71" s="30"/>
      <c r="D71" s="30"/>
    </row>
    <row r="72" spans="1:4" x14ac:dyDescent="0.25">
      <c r="A72" s="30"/>
      <c r="B72" s="31"/>
      <c r="C72" s="30"/>
      <c r="D72" s="30"/>
    </row>
    <row r="73" spans="1:4" x14ac:dyDescent="0.25">
      <c r="A73" s="30"/>
      <c r="B73" s="31"/>
      <c r="C73" s="30"/>
      <c r="D73" s="30"/>
    </row>
    <row r="74" spans="1:4" x14ac:dyDescent="0.25">
      <c r="A74" s="30"/>
      <c r="B74" s="31"/>
      <c r="C74" s="30"/>
      <c r="D74" s="30"/>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816A6-81F5-4E1B-A49B-E47DE2302E54}">
  <dimension ref="A1:S53"/>
  <sheetViews>
    <sheetView topLeftCell="F1" workbookViewId="0">
      <selection activeCell="F20" sqref="F19:F20"/>
    </sheetView>
  </sheetViews>
  <sheetFormatPr defaultColWidth="15.42578125" defaultRowHeight="14.25" x14ac:dyDescent="0.2"/>
  <cols>
    <col min="1" max="1" width="25.140625" style="39" customWidth="1"/>
    <col min="2" max="2" width="18.28515625" style="39" customWidth="1"/>
    <col min="3" max="3" width="13.28515625" style="39" customWidth="1"/>
    <col min="4" max="4" width="13.7109375" style="41" customWidth="1"/>
    <col min="5" max="5" width="14.5703125" style="40" customWidth="1"/>
    <col min="6" max="6" width="14.42578125" style="39" customWidth="1"/>
    <col min="7" max="7" width="13.7109375" style="40" customWidth="1"/>
    <col min="8" max="16384" width="15.42578125" style="40"/>
  </cols>
  <sheetData>
    <row r="1" spans="1:19" ht="18.75" x14ac:dyDescent="0.3">
      <c r="A1" s="129" t="s">
        <v>61</v>
      </c>
      <c r="B1" s="30"/>
      <c r="C1" s="30"/>
      <c r="D1" s="30"/>
      <c r="E1" s="30"/>
      <c r="F1" s="30"/>
      <c r="G1" s="30"/>
      <c r="H1" s="30"/>
      <c r="I1" s="30"/>
      <c r="J1" s="30"/>
      <c r="K1"/>
      <c r="L1"/>
      <c r="M1"/>
      <c r="N1"/>
      <c r="O1"/>
      <c r="P1"/>
      <c r="Q1"/>
      <c r="R1"/>
      <c r="S1"/>
    </row>
    <row r="2" spans="1:19" ht="15.75" x14ac:dyDescent="0.25">
      <c r="A2" s="30" t="s">
        <v>62</v>
      </c>
      <c r="B2" s="30"/>
      <c r="C2" s="30"/>
      <c r="D2" s="30"/>
      <c r="E2" s="30"/>
      <c r="F2" s="30"/>
      <c r="G2" s="30"/>
      <c r="H2" s="30"/>
      <c r="I2" s="30"/>
      <c r="J2" s="30"/>
      <c r="K2"/>
      <c r="L2"/>
      <c r="M2"/>
      <c r="N2"/>
      <c r="O2"/>
      <c r="P2"/>
      <c r="Q2"/>
      <c r="R2"/>
      <c r="S2"/>
    </row>
    <row r="3" spans="1:19" ht="15.75" x14ac:dyDescent="0.25">
      <c r="A3">
        <v>1500198</v>
      </c>
      <c r="B3" s="30"/>
      <c r="C3" s="30"/>
      <c r="D3" s="30"/>
      <c r="E3" s="30"/>
      <c r="F3" s="30"/>
      <c r="G3" s="30"/>
      <c r="H3" s="30"/>
      <c r="I3" s="30"/>
      <c r="J3" s="30"/>
      <c r="K3"/>
      <c r="L3"/>
      <c r="M3"/>
      <c r="N3"/>
      <c r="O3"/>
      <c r="P3"/>
      <c r="Q3"/>
      <c r="R3"/>
      <c r="S3"/>
    </row>
    <row r="4" spans="1:19" ht="15.75" x14ac:dyDescent="0.25">
      <c r="A4"/>
      <c r="B4" s="30"/>
      <c r="C4" s="30"/>
      <c r="D4" s="30"/>
      <c r="E4" s="30"/>
      <c r="F4" s="30"/>
      <c r="G4" s="30"/>
      <c r="H4" s="30"/>
      <c r="I4" s="30"/>
      <c r="J4" s="30"/>
      <c r="K4"/>
      <c r="L4"/>
      <c r="M4"/>
      <c r="N4"/>
      <c r="O4"/>
      <c r="P4"/>
      <c r="Q4"/>
      <c r="R4"/>
      <c r="S4"/>
    </row>
    <row r="5" spans="1:19" ht="63" x14ac:dyDescent="0.25">
      <c r="A5" s="30" t="s">
        <v>16</v>
      </c>
      <c r="B5" s="19" t="s">
        <v>63</v>
      </c>
      <c r="C5" s="19" t="s">
        <v>64</v>
      </c>
      <c r="D5" s="19" t="s">
        <v>65</v>
      </c>
      <c r="E5" s="19" t="s">
        <v>66</v>
      </c>
      <c r="F5" s="19" t="s">
        <v>161</v>
      </c>
      <c r="G5" s="19" t="s">
        <v>67</v>
      </c>
      <c r="H5" s="19"/>
      <c r="I5" s="19"/>
      <c r="J5" s="19"/>
      <c r="K5"/>
      <c r="L5"/>
      <c r="M5"/>
      <c r="N5"/>
      <c r="O5"/>
      <c r="P5"/>
      <c r="Q5"/>
      <c r="R5"/>
      <c r="S5"/>
    </row>
    <row r="6" spans="1:19" ht="15.75" x14ac:dyDescent="0.25">
      <c r="A6" s="30" t="s">
        <v>12</v>
      </c>
      <c r="B6" s="130">
        <v>313.08813559322033</v>
      </c>
      <c r="C6" s="131">
        <f>SUM(B6/$B$19)</f>
        <v>4.9918388965755796E-3</v>
      </c>
      <c r="D6" s="130">
        <f>SUM(C6*$A$3)</f>
        <v>7488.7467289648912</v>
      </c>
      <c r="E6" s="30">
        <v>125016.5</v>
      </c>
      <c r="F6" s="132">
        <v>66252.52825985926</v>
      </c>
      <c r="G6" s="132">
        <v>26265.000207206969</v>
      </c>
      <c r="H6" s="30"/>
      <c r="I6" s="30"/>
      <c r="J6" s="30"/>
      <c r="K6"/>
      <c r="L6"/>
      <c r="M6"/>
      <c r="N6"/>
      <c r="O6"/>
      <c r="P6"/>
      <c r="Q6"/>
      <c r="R6"/>
      <c r="S6"/>
    </row>
    <row r="7" spans="1:19" ht="15.75" x14ac:dyDescent="0.25">
      <c r="A7" s="30" t="s">
        <v>6</v>
      </c>
      <c r="B7" s="130">
        <v>385.73276836158192</v>
      </c>
      <c r="C7" s="131">
        <f t="shared" ref="C7:C17" si="0">SUM(B7/$B$19)</f>
        <v>6.1500760261731808E-3</v>
      </c>
      <c r="D7" s="130">
        <f t="shared" ref="D7:D17" si="1">SUM(C7*$A$3)</f>
        <v>9226.3317543129542</v>
      </c>
      <c r="E7" s="30">
        <v>125016.5</v>
      </c>
      <c r="F7" s="132">
        <v>67121.3180412863</v>
      </c>
      <c r="G7" s="132">
        <v>26265.000207206969</v>
      </c>
      <c r="H7" s="30"/>
      <c r="I7" s="30"/>
      <c r="J7" s="30"/>
      <c r="K7"/>
      <c r="L7"/>
      <c r="M7"/>
      <c r="N7"/>
      <c r="O7"/>
      <c r="P7"/>
      <c r="Q7"/>
      <c r="R7"/>
      <c r="S7"/>
    </row>
    <row r="8" spans="1:19" ht="15.75" x14ac:dyDescent="0.25">
      <c r="A8" s="30" t="s">
        <v>3</v>
      </c>
      <c r="B8" s="130">
        <v>859.45762711864404</v>
      </c>
      <c r="C8" s="131">
        <f t="shared" si="0"/>
        <v>1.3703087167070218E-2</v>
      </c>
      <c r="D8" s="130">
        <f t="shared" si="1"/>
        <v>20557.343961864408</v>
      </c>
      <c r="E8" s="30">
        <v>125016.5</v>
      </c>
      <c r="F8" s="132">
        <v>72786.806334254172</v>
      </c>
      <c r="G8" s="132">
        <v>31885.698688787787</v>
      </c>
      <c r="H8" s="30"/>
      <c r="I8" s="30"/>
      <c r="J8" s="30"/>
      <c r="K8"/>
      <c r="L8"/>
      <c r="M8"/>
      <c r="N8"/>
      <c r="O8"/>
      <c r="P8"/>
      <c r="Q8"/>
      <c r="R8"/>
      <c r="S8"/>
    </row>
    <row r="9" spans="1:19" ht="15.75" x14ac:dyDescent="0.25">
      <c r="A9" s="30" t="s">
        <v>5</v>
      </c>
      <c r="B9" s="130">
        <v>1098.8779661016949</v>
      </c>
      <c r="C9" s="131">
        <f t="shared" si="0"/>
        <v>1.752037573503978E-2</v>
      </c>
      <c r="D9" s="130">
        <f t="shared" si="1"/>
        <v>26284.032636955209</v>
      </c>
      <c r="E9" s="30">
        <v>125016.5</v>
      </c>
      <c r="F9" s="132">
        <v>75650.141670224984</v>
      </c>
      <c r="G9" s="132">
        <v>51300.645964539835</v>
      </c>
      <c r="H9" s="30"/>
      <c r="I9" s="30"/>
      <c r="J9" s="30"/>
      <c r="K9"/>
      <c r="L9"/>
      <c r="M9"/>
      <c r="N9"/>
      <c r="O9"/>
      <c r="P9"/>
      <c r="Q9"/>
      <c r="R9"/>
      <c r="S9"/>
    </row>
    <row r="10" spans="1:19" ht="15.75" x14ac:dyDescent="0.25">
      <c r="A10" s="30" t="s">
        <v>14</v>
      </c>
      <c r="B10" s="130">
        <v>1189.939548022599</v>
      </c>
      <c r="C10" s="131">
        <f t="shared" si="0"/>
        <v>1.8972250446788887E-2</v>
      </c>
      <c r="D10" s="130">
        <f t="shared" si="1"/>
        <v>28462.132175771792</v>
      </c>
      <c r="E10" s="30">
        <v>125016.5</v>
      </c>
      <c r="F10" s="132">
        <v>76739.188015957465</v>
      </c>
      <c r="G10" s="132">
        <v>51300.645964539835</v>
      </c>
      <c r="H10" s="30"/>
      <c r="I10" s="30"/>
      <c r="J10" s="30"/>
      <c r="K10"/>
      <c r="L10"/>
      <c r="M10"/>
      <c r="N10"/>
      <c r="O10"/>
      <c r="P10"/>
      <c r="Q10"/>
      <c r="R10"/>
      <c r="S10"/>
    </row>
    <row r="11" spans="1:19" ht="15.75" x14ac:dyDescent="0.25">
      <c r="A11" s="30" t="s">
        <v>4</v>
      </c>
      <c r="B11" s="130">
        <v>1377.1785310734463</v>
      </c>
      <c r="C11" s="131">
        <f t="shared" si="0"/>
        <v>2.1957565865329182E-2</v>
      </c>
      <c r="D11" s="130">
        <f t="shared" si="1"/>
        <v>32940.696396035106</v>
      </c>
      <c r="E11" s="30">
        <v>125016.5</v>
      </c>
      <c r="F11" s="132">
        <v>78978.463086396165</v>
      </c>
      <c r="G11" s="132">
        <v>52733.507641656928</v>
      </c>
      <c r="H11" s="30"/>
      <c r="I11" s="30"/>
      <c r="J11" s="30"/>
      <c r="K11"/>
      <c r="L11"/>
      <c r="M11"/>
      <c r="N11"/>
      <c r="O11"/>
      <c r="P11"/>
      <c r="Q11"/>
      <c r="R11"/>
      <c r="S11"/>
    </row>
    <row r="12" spans="1:19" ht="15.75" x14ac:dyDescent="0.25">
      <c r="A12" s="30" t="s">
        <v>10</v>
      </c>
      <c r="B12" s="130">
        <v>2040.1887005649717</v>
      </c>
      <c r="C12" s="131">
        <f t="shared" si="0"/>
        <v>3.2528518822783348E-2</v>
      </c>
      <c r="D12" s="130">
        <f t="shared" si="1"/>
        <v>48799.218880901935</v>
      </c>
      <c r="E12" s="30">
        <v>125016.5</v>
      </c>
      <c r="F12" s="132">
        <v>86907.699401392252</v>
      </c>
      <c r="G12" s="132">
        <v>60735.390514066617</v>
      </c>
      <c r="H12" s="30"/>
      <c r="I12" s="30"/>
      <c r="J12" s="30"/>
      <c r="K12"/>
      <c r="L12"/>
      <c r="M12"/>
      <c r="N12"/>
      <c r="O12"/>
      <c r="P12"/>
      <c r="Q12"/>
      <c r="R12"/>
      <c r="S12"/>
    </row>
    <row r="13" spans="1:19" ht="15.75" x14ac:dyDescent="0.25">
      <c r="A13" s="30" t="s">
        <v>11</v>
      </c>
      <c r="B13" s="130">
        <v>2912.9474576271186</v>
      </c>
      <c r="C13" s="131">
        <f t="shared" si="0"/>
        <v>4.6443677576962987E-2</v>
      </c>
      <c r="D13" s="130">
        <f t="shared" si="1"/>
        <v>69674.712213604726</v>
      </c>
      <c r="E13" s="30">
        <v>125016.5</v>
      </c>
      <c r="F13" s="132">
        <v>97345.413254311483</v>
      </c>
      <c r="G13" s="132">
        <v>82444.300779160971</v>
      </c>
      <c r="H13" s="30"/>
      <c r="I13" s="30"/>
      <c r="J13" s="30"/>
      <c r="K13"/>
      <c r="L13"/>
      <c r="M13"/>
      <c r="N13"/>
      <c r="O13"/>
      <c r="P13"/>
      <c r="Q13"/>
      <c r="R13"/>
      <c r="S13"/>
    </row>
    <row r="14" spans="1:19" ht="15.75" x14ac:dyDescent="0.25">
      <c r="A14" s="30" t="s">
        <v>13</v>
      </c>
      <c r="B14" s="130">
        <v>8654.9429378531077</v>
      </c>
      <c r="C14" s="131">
        <f t="shared" si="0"/>
        <v>0.13799335041219879</v>
      </c>
      <c r="D14" s="130">
        <f t="shared" si="1"/>
        <v>207017.3483016798</v>
      </c>
      <c r="E14" s="30">
        <v>125016.5</v>
      </c>
      <c r="F14" s="132">
        <v>166016.51541443184</v>
      </c>
      <c r="G14" s="132">
        <v>199898.91056776606</v>
      </c>
      <c r="H14" s="30"/>
      <c r="I14" s="30"/>
      <c r="J14" s="30"/>
      <c r="K14"/>
      <c r="L14"/>
      <c r="M14"/>
      <c r="N14"/>
      <c r="O14"/>
      <c r="P14"/>
      <c r="Q14"/>
      <c r="R14"/>
      <c r="S14"/>
    </row>
    <row r="15" spans="1:19" ht="15.75" x14ac:dyDescent="0.25">
      <c r="A15" s="30" t="s">
        <v>20</v>
      </c>
      <c r="B15" s="133">
        <v>9136</v>
      </c>
      <c r="C15" s="131">
        <f t="shared" si="0"/>
        <v>0.14566326530612245</v>
      </c>
      <c r="D15" s="130">
        <f t="shared" si="1"/>
        <v>218523.73928571428</v>
      </c>
      <c r="E15" s="30">
        <v>125016.5</v>
      </c>
      <c r="F15" s="132">
        <v>171769.6928199697</v>
      </c>
      <c r="G15" s="132">
        <v>148764.39444453805</v>
      </c>
      <c r="H15" s="30"/>
      <c r="I15" s="30"/>
      <c r="J15" s="30"/>
      <c r="K15"/>
      <c r="L15"/>
      <c r="M15"/>
      <c r="N15"/>
      <c r="O15"/>
      <c r="P15"/>
      <c r="Q15"/>
      <c r="R15"/>
      <c r="S15"/>
    </row>
    <row r="16" spans="1:19" ht="15.75" x14ac:dyDescent="0.25">
      <c r="A16" s="30" t="s">
        <v>8</v>
      </c>
      <c r="B16" s="130">
        <v>12099.93559322034</v>
      </c>
      <c r="C16" s="131">
        <f t="shared" si="0"/>
        <v>0.19291989147353858</v>
      </c>
      <c r="D16" s="130">
        <f t="shared" si="1"/>
        <v>289418.03534881963</v>
      </c>
      <c r="E16" s="30">
        <v>125016.5</v>
      </c>
      <c r="F16" s="132">
        <v>207216.72941534512</v>
      </c>
      <c r="G16" s="132">
        <v>233095.64375855538</v>
      </c>
      <c r="H16" s="30"/>
      <c r="I16" s="30"/>
      <c r="J16" s="30"/>
      <c r="K16"/>
      <c r="L16"/>
      <c r="M16"/>
      <c r="N16"/>
      <c r="O16"/>
      <c r="P16"/>
      <c r="Q16"/>
      <c r="R16"/>
      <c r="S16"/>
    </row>
    <row r="17" spans="1:19" ht="15.75" x14ac:dyDescent="0.25">
      <c r="A17" s="30" t="s">
        <v>9</v>
      </c>
      <c r="B17" s="130">
        <v>22651.82429378531</v>
      </c>
      <c r="C17" s="131">
        <f t="shared" si="0"/>
        <v>0.36115791284734233</v>
      </c>
      <c r="D17" s="130">
        <f t="shared" si="1"/>
        <v>541808.37853775732</v>
      </c>
      <c r="E17" s="30">
        <v>125016.5</v>
      </c>
      <c r="F17" s="132">
        <v>333411.50428657129</v>
      </c>
      <c r="G17" s="132">
        <v>535508.62860440474</v>
      </c>
      <c r="H17" s="30"/>
      <c r="I17" s="30"/>
      <c r="J17" s="30"/>
      <c r="K17"/>
      <c r="L17"/>
      <c r="M17"/>
      <c r="N17"/>
      <c r="O17"/>
      <c r="P17"/>
      <c r="Q17"/>
      <c r="R17"/>
      <c r="S17"/>
    </row>
    <row r="18" spans="1:19" ht="15.75" x14ac:dyDescent="0.25">
      <c r="A18" s="30" t="s">
        <v>19</v>
      </c>
      <c r="B18" s="130">
        <f>SUM(B6:B17)</f>
        <v>62720.113559322039</v>
      </c>
      <c r="C18" s="134">
        <f>SUM(C6:C17)</f>
        <v>1.0000018105759252</v>
      </c>
      <c r="D18" s="130">
        <f>SUM(D6:D17)</f>
        <v>1500200.7162223819</v>
      </c>
      <c r="E18" s="30"/>
      <c r="F18" s="30"/>
      <c r="G18" s="30"/>
      <c r="H18" s="30"/>
      <c r="I18" s="30"/>
      <c r="J18" s="30"/>
      <c r="K18"/>
      <c r="L18"/>
      <c r="M18"/>
      <c r="N18"/>
      <c r="O18"/>
      <c r="P18"/>
      <c r="Q18"/>
      <c r="R18"/>
      <c r="S18"/>
    </row>
    <row r="19" spans="1:19" ht="15" x14ac:dyDescent="0.25">
      <c r="A19"/>
      <c r="B19" s="135">
        <v>62720</v>
      </c>
      <c r="C19" s="135"/>
      <c r="D19"/>
      <c r="E19"/>
      <c r="F19"/>
      <c r="G19"/>
      <c r="H19"/>
      <c r="I19"/>
      <c r="J19"/>
      <c r="K19"/>
      <c r="L19"/>
      <c r="M19"/>
      <c r="N19"/>
      <c r="O19"/>
      <c r="P19"/>
      <c r="Q19"/>
      <c r="R19"/>
      <c r="S19"/>
    </row>
    <row r="23" spans="1:19" ht="31.5" x14ac:dyDescent="0.25">
      <c r="A23" s="30" t="s">
        <v>16</v>
      </c>
      <c r="B23" s="19" t="s">
        <v>63</v>
      </c>
      <c r="C23" s="136" t="s">
        <v>67</v>
      </c>
      <c r="D23" s="137" t="s">
        <v>68</v>
      </c>
      <c r="E23" s="19" t="s">
        <v>69</v>
      </c>
      <c r="F23" s="136" t="s">
        <v>70</v>
      </c>
      <c r="G23" s="19" t="s">
        <v>71</v>
      </c>
    </row>
    <row r="24" spans="1:19" ht="15.75" x14ac:dyDescent="0.25">
      <c r="A24" s="30" t="s">
        <v>12</v>
      </c>
      <c r="B24" s="130">
        <v>313.08813559322033</v>
      </c>
      <c r="C24" s="132">
        <v>26265.000207206969</v>
      </c>
      <c r="D24" s="145">
        <v>26339.993121575299</v>
      </c>
      <c r="E24" s="146">
        <v>26847.39487468281</v>
      </c>
      <c r="F24" s="145">
        <v>26904.927968507556</v>
      </c>
      <c r="G24" s="146">
        <v>28328.397681497685</v>
      </c>
    </row>
    <row r="25" spans="1:19" ht="15.75" x14ac:dyDescent="0.25">
      <c r="A25" s="30" t="s">
        <v>6</v>
      </c>
      <c r="B25" s="130">
        <v>385.73276836158192</v>
      </c>
      <c r="C25" s="132">
        <v>26265.000207206969</v>
      </c>
      <c r="D25" s="145">
        <v>27030.501329522511</v>
      </c>
      <c r="E25" s="146">
        <v>27655.63355475627</v>
      </c>
      <c r="F25" s="145">
        <v>27726.515830481534</v>
      </c>
      <c r="G25" s="146">
        <v>29082.110869034728</v>
      </c>
    </row>
    <row r="26" spans="1:19" ht="15.75" x14ac:dyDescent="0.25">
      <c r="A26" s="30" t="s">
        <v>3</v>
      </c>
      <c r="B26" s="130">
        <v>859.45762711864404</v>
      </c>
      <c r="C26" s="132">
        <v>31885.698688787787</v>
      </c>
      <c r="D26" s="145">
        <v>31533.392882755725</v>
      </c>
      <c r="E26" s="146">
        <v>32926.260440305748</v>
      </c>
      <c r="F26" s="145">
        <v>33084.194423354085</v>
      </c>
      <c r="G26" s="146">
        <v>33997.170106072073</v>
      </c>
    </row>
    <row r="27" spans="1:19" ht="15.75" x14ac:dyDescent="0.25">
      <c r="A27" s="30" t="s">
        <v>5</v>
      </c>
      <c r="B27" s="130">
        <v>1098.8779661016949</v>
      </c>
      <c r="C27" s="132">
        <v>51300.645964539835</v>
      </c>
      <c r="D27" s="145">
        <v>47057.55232866625</v>
      </c>
      <c r="E27" s="146">
        <v>48838.432991533788</v>
      </c>
      <c r="F27" s="145">
        <v>49040.362869859862</v>
      </c>
      <c r="G27" s="146">
        <v>50759.238921335011</v>
      </c>
    </row>
    <row r="28" spans="1:19" ht="15.75" x14ac:dyDescent="0.25">
      <c r="A28" s="30" t="s">
        <v>14</v>
      </c>
      <c r="B28" s="130">
        <v>1189.939548022599</v>
      </c>
      <c r="C28" s="132">
        <v>51300.645964539835</v>
      </c>
      <c r="D28" s="145">
        <v>47923.118955529651</v>
      </c>
      <c r="E28" s="146">
        <v>49851.577252470946</v>
      </c>
      <c r="F28" s="145">
        <v>50070.240612334281</v>
      </c>
      <c r="G28" s="146">
        <v>51704.034325430737</v>
      </c>
    </row>
    <row r="29" spans="1:19" ht="15.75" x14ac:dyDescent="0.25">
      <c r="A29" s="30" t="s">
        <v>4</v>
      </c>
      <c r="B29" s="130">
        <v>1377.1785310734463</v>
      </c>
      <c r="C29" s="132">
        <v>52733.507641656928</v>
      </c>
      <c r="D29" s="145">
        <v>49702.879547844292</v>
      </c>
      <c r="E29" s="146">
        <v>51934.783991251839</v>
      </c>
      <c r="F29" s="145">
        <v>52187.854397422139</v>
      </c>
      <c r="G29" s="146">
        <v>53646.703527110731</v>
      </c>
    </row>
    <row r="30" spans="1:19" ht="15.75" x14ac:dyDescent="0.25">
      <c r="A30" s="30" t="s">
        <v>10</v>
      </c>
      <c r="B30" s="130">
        <v>2040.1887005649717</v>
      </c>
      <c r="C30" s="132">
        <v>60735.390514066617</v>
      </c>
      <c r="D30" s="145">
        <v>56004.982628827274</v>
      </c>
      <c r="E30" s="146">
        <v>59311.384902344842</v>
      </c>
      <c r="F30" s="145">
        <v>59686.29009543814</v>
      </c>
      <c r="G30" s="146">
        <v>60525.663323223467</v>
      </c>
    </row>
    <row r="31" spans="1:19" ht="15.75" x14ac:dyDescent="0.25">
      <c r="A31" s="30" t="s">
        <v>11</v>
      </c>
      <c r="B31" s="130">
        <v>2912.9474576271186</v>
      </c>
      <c r="C31" s="132">
        <v>82444.300779160971</v>
      </c>
      <c r="D31" s="145">
        <v>64300.806591911365</v>
      </c>
      <c r="E31" s="146">
        <v>69021.632706607721</v>
      </c>
      <c r="F31" s="145">
        <v>69556.916099153663</v>
      </c>
      <c r="G31" s="146">
        <v>69580.837252365716</v>
      </c>
    </row>
    <row r="32" spans="1:19" ht="15.75" x14ac:dyDescent="0.25">
      <c r="A32" s="30" t="s">
        <v>13</v>
      </c>
      <c r="B32" s="130">
        <v>8654.9429378531077</v>
      </c>
      <c r="C32" s="132">
        <v>199898.91056776606</v>
      </c>
      <c r="D32" s="145">
        <v>189480.5485674511</v>
      </c>
      <c r="E32" s="146">
        <v>203507.05650711263</v>
      </c>
      <c r="F32" s="145">
        <v>205097.48931973864</v>
      </c>
      <c r="G32" s="146">
        <v>204931.84702516595</v>
      </c>
    </row>
    <row r="33" spans="1:7" ht="15.75" x14ac:dyDescent="0.25">
      <c r="A33" s="30" t="s">
        <v>20</v>
      </c>
      <c r="B33" s="133">
        <v>9136</v>
      </c>
      <c r="C33" s="132">
        <v>148764.39444453805</v>
      </c>
      <c r="D33" s="145">
        <v>200012.21315291975</v>
      </c>
      <c r="E33" s="146">
        <v>113171.89546666667</v>
      </c>
      <c r="F33" s="145">
        <v>103325.27567354284</v>
      </c>
      <c r="G33" s="146">
        <v>94789.159486775141</v>
      </c>
    </row>
    <row r="34" spans="1:7" ht="15.75" x14ac:dyDescent="0.25">
      <c r="A34" s="30" t="s">
        <v>8</v>
      </c>
      <c r="B34" s="130">
        <v>12099.93559322034</v>
      </c>
      <c r="C34" s="132">
        <v>233095.64375855538</v>
      </c>
      <c r="D34" s="145">
        <v>264900.93005777005</v>
      </c>
      <c r="E34" s="146">
        <v>284510.515457278</v>
      </c>
      <c r="F34" s="145">
        <v>286734.00031862268</v>
      </c>
      <c r="G34" s="146">
        <v>286502.42616380338</v>
      </c>
    </row>
    <row r="35" spans="1:7" ht="15.75" x14ac:dyDescent="0.25">
      <c r="A35" s="30" t="s">
        <v>9</v>
      </c>
      <c r="B35" s="130">
        <v>22651.82429378531</v>
      </c>
      <c r="C35" s="132">
        <v>535508.62860440474</v>
      </c>
      <c r="D35" s="145">
        <v>495910.84817765688</v>
      </c>
      <c r="E35" s="146">
        <v>532621.19919741899</v>
      </c>
      <c r="F35" s="145">
        <v>536783.69973397488</v>
      </c>
      <c r="G35" s="146">
        <v>536350.1786606157</v>
      </c>
    </row>
    <row r="36" spans="1:7" ht="15.75" x14ac:dyDescent="0.25">
      <c r="A36" s="30" t="s">
        <v>19</v>
      </c>
      <c r="B36" s="130">
        <f>SUM(B24:B35)</f>
        <v>62720.113559322039</v>
      </c>
      <c r="C36" s="138">
        <f>SUM(C24:C35)</f>
        <v>1500197.7673424301</v>
      </c>
      <c r="D36" s="137"/>
      <c r="E36" s="19"/>
      <c r="F36" s="136"/>
      <c r="G36" s="19"/>
    </row>
    <row r="37" spans="1:7" ht="15.75" x14ac:dyDescent="0.25">
      <c r="A37" s="30"/>
      <c r="B37" s="130"/>
      <c r="C37" s="138"/>
      <c r="D37" s="137"/>
      <c r="E37" s="19"/>
      <c r="F37" s="136"/>
      <c r="G37" s="19"/>
    </row>
    <row r="38" spans="1:7" ht="15.75" x14ac:dyDescent="0.25">
      <c r="A38" s="30"/>
      <c r="B38" s="130"/>
      <c r="C38" s="138"/>
      <c r="D38" s="137"/>
      <c r="E38" s="19"/>
      <c r="F38" s="136"/>
      <c r="G38" s="19"/>
    </row>
    <row r="40" spans="1:7" ht="15.75" x14ac:dyDescent="0.25">
      <c r="A40" s="136" t="s">
        <v>72</v>
      </c>
    </row>
    <row r="41" spans="1:7" ht="31.5" x14ac:dyDescent="0.25">
      <c r="A41" s="144" t="s">
        <v>16</v>
      </c>
      <c r="B41" s="143" t="s">
        <v>58</v>
      </c>
      <c r="C41" s="139" t="s">
        <v>68</v>
      </c>
      <c r="D41" s="55" t="s">
        <v>69</v>
      </c>
      <c r="E41" s="140" t="s">
        <v>70</v>
      </c>
      <c r="F41" s="55" t="s">
        <v>71</v>
      </c>
    </row>
    <row r="42" spans="1:7" ht="15.75" x14ac:dyDescent="0.25">
      <c r="A42" s="54" t="s">
        <v>3</v>
      </c>
      <c r="B42" s="141">
        <v>859.45762711864404</v>
      </c>
      <c r="C42" s="145">
        <v>31533.392882755725</v>
      </c>
      <c r="D42" s="146">
        <v>32926.260440305748</v>
      </c>
      <c r="E42" s="145">
        <v>33084.194423354085</v>
      </c>
      <c r="F42" s="146">
        <v>33997.170106072073</v>
      </c>
    </row>
    <row r="43" spans="1:7" ht="15.75" x14ac:dyDescent="0.25">
      <c r="A43" s="54" t="s">
        <v>4</v>
      </c>
      <c r="B43" s="141">
        <v>1377.1785310734463</v>
      </c>
      <c r="C43" s="145">
        <v>49702.879547844292</v>
      </c>
      <c r="D43" s="146">
        <v>51934.783991251839</v>
      </c>
      <c r="E43" s="145">
        <v>52187.854397422139</v>
      </c>
      <c r="F43" s="146">
        <v>53646.703527110731</v>
      </c>
    </row>
    <row r="44" spans="1:7" ht="15.75" x14ac:dyDescent="0.25">
      <c r="A44" s="54" t="s">
        <v>5</v>
      </c>
      <c r="B44" s="141">
        <v>1098.8779661016949</v>
      </c>
      <c r="C44" s="145">
        <v>47057.55232866625</v>
      </c>
      <c r="D44" s="146">
        <v>48838.432991533788</v>
      </c>
      <c r="E44" s="145">
        <v>49040.362869859862</v>
      </c>
      <c r="F44" s="146">
        <v>50759.238921335011</v>
      </c>
    </row>
    <row r="45" spans="1:7" ht="15.75" x14ac:dyDescent="0.25">
      <c r="A45" s="54" t="s">
        <v>6</v>
      </c>
      <c r="B45" s="141">
        <v>385.73276836158192</v>
      </c>
      <c r="C45" s="145">
        <v>27030.501329522511</v>
      </c>
      <c r="D45" s="146">
        <v>27655.63355475627</v>
      </c>
      <c r="E45" s="145">
        <v>27726.515830481534</v>
      </c>
      <c r="F45" s="146">
        <v>29082.110869034728</v>
      </c>
    </row>
    <row r="46" spans="1:7" ht="15.75" x14ac:dyDescent="0.25">
      <c r="A46" s="54" t="s">
        <v>32</v>
      </c>
      <c r="B46" s="142">
        <v>9136</v>
      </c>
      <c r="C46" s="145">
        <v>200012.21315291975</v>
      </c>
      <c r="D46" s="146">
        <v>113171.89546666667</v>
      </c>
      <c r="E46" s="145">
        <v>103325.27567354284</v>
      </c>
      <c r="F46" s="146">
        <v>94789.159486775141</v>
      </c>
    </row>
    <row r="47" spans="1:7" ht="15.75" x14ac:dyDescent="0.25">
      <c r="A47" s="54" t="s">
        <v>8</v>
      </c>
      <c r="B47" s="141">
        <v>12099.93559322034</v>
      </c>
      <c r="C47" s="145">
        <v>264900.93005777005</v>
      </c>
      <c r="D47" s="146">
        <v>284510.515457278</v>
      </c>
      <c r="E47" s="145">
        <v>286734.00031862268</v>
      </c>
      <c r="F47" s="146">
        <v>286502.42616380338</v>
      </c>
    </row>
    <row r="48" spans="1:7" ht="15.75" x14ac:dyDescent="0.25">
      <c r="A48" s="54" t="s">
        <v>9</v>
      </c>
      <c r="B48" s="141">
        <v>22651.82429378531</v>
      </c>
      <c r="C48" s="145">
        <v>495910.84817765688</v>
      </c>
      <c r="D48" s="146">
        <v>532621.19919741899</v>
      </c>
      <c r="E48" s="145">
        <v>536783.69973397488</v>
      </c>
      <c r="F48" s="146">
        <v>536350.1786606157</v>
      </c>
    </row>
    <row r="49" spans="1:6" ht="15.75" x14ac:dyDescent="0.25">
      <c r="A49" s="54" t="s">
        <v>10</v>
      </c>
      <c r="B49" s="141">
        <v>2040.1887005649717</v>
      </c>
      <c r="C49" s="145">
        <v>56004.982628827274</v>
      </c>
      <c r="D49" s="146">
        <v>59311.384902344842</v>
      </c>
      <c r="E49" s="145">
        <v>59686.29009543814</v>
      </c>
      <c r="F49" s="146">
        <v>60525.663323223467</v>
      </c>
    </row>
    <row r="50" spans="1:6" ht="15.75" x14ac:dyDescent="0.25">
      <c r="A50" s="54" t="s">
        <v>11</v>
      </c>
      <c r="B50" s="141">
        <v>2912.9474576271186</v>
      </c>
      <c r="C50" s="145">
        <v>64300.806591911365</v>
      </c>
      <c r="D50" s="146">
        <v>69021.632706607721</v>
      </c>
      <c r="E50" s="145">
        <v>69556.916099153663</v>
      </c>
      <c r="F50" s="146">
        <v>69580.837252365716</v>
      </c>
    </row>
    <row r="51" spans="1:6" ht="15.75" x14ac:dyDescent="0.25">
      <c r="A51" s="54" t="s">
        <v>12</v>
      </c>
      <c r="B51" s="141">
        <v>313.08813559322033</v>
      </c>
      <c r="C51" s="145">
        <v>26339.993121575299</v>
      </c>
      <c r="D51" s="146">
        <v>26847.39487468281</v>
      </c>
      <c r="E51" s="145">
        <v>26904.927968507556</v>
      </c>
      <c r="F51" s="146">
        <v>28328.397681497685</v>
      </c>
    </row>
    <row r="52" spans="1:6" ht="15.75" x14ac:dyDescent="0.25">
      <c r="A52" s="54" t="s">
        <v>13</v>
      </c>
      <c r="B52" s="141">
        <v>8654.9429378531077</v>
      </c>
      <c r="C52" s="145">
        <v>189480.5485674511</v>
      </c>
      <c r="D52" s="146">
        <v>203507.05650711263</v>
      </c>
      <c r="E52" s="145">
        <v>205097.48931973864</v>
      </c>
      <c r="F52" s="146">
        <v>204931.84702516595</v>
      </c>
    </row>
    <row r="53" spans="1:6" ht="15.75" x14ac:dyDescent="0.25">
      <c r="A53" s="54" t="s">
        <v>14</v>
      </c>
      <c r="B53" s="141">
        <v>1189.939548022599</v>
      </c>
      <c r="C53" s="145">
        <v>47923.118955529651</v>
      </c>
      <c r="D53" s="146">
        <v>49851.577252470946</v>
      </c>
      <c r="E53" s="145">
        <v>50070.240612334281</v>
      </c>
      <c r="F53" s="146">
        <v>51704.034325430737</v>
      </c>
    </row>
  </sheetData>
  <sortState xmlns:xlrd2="http://schemas.microsoft.com/office/spreadsheetml/2017/richdata2" ref="A42:F53">
    <sortCondition ref="A42:A53"/>
  </sortState>
  <pageMargins left="0.7" right="0.7" top="0.75" bottom="0.75" header="0.3" footer="0.3"/>
  <pageSetup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7EB10-B65A-4AEF-8E0F-8C1E85469497}">
  <sheetPr>
    <pageSetUpPr fitToPage="1"/>
  </sheetPr>
  <dimension ref="A1:AL17"/>
  <sheetViews>
    <sheetView topLeftCell="A2" workbookViewId="0">
      <pane xSplit="5" topLeftCell="F1" activePane="topRight" state="frozen"/>
      <selection pane="topRight" activeCell="X2" sqref="X2"/>
    </sheetView>
  </sheetViews>
  <sheetFormatPr defaultRowHeight="15" x14ac:dyDescent="0.2"/>
  <cols>
    <col min="1" max="1" width="19.7109375" style="14" customWidth="1"/>
    <col min="2" max="2" width="14.5703125" style="14" customWidth="1"/>
    <col min="3" max="3" width="22.5703125" style="14" customWidth="1"/>
    <col min="4" max="4" width="9.42578125" style="14" bestFit="1" customWidth="1"/>
    <col min="5" max="5" width="10.5703125" style="14" bestFit="1" customWidth="1"/>
    <col min="6" max="6" width="10.42578125" style="14" bestFit="1" customWidth="1"/>
    <col min="7" max="7" width="9.42578125" style="14" bestFit="1" customWidth="1"/>
    <col min="8" max="8" width="10.42578125" style="14" bestFit="1" customWidth="1"/>
    <col min="9" max="9" width="11.5703125" style="14" customWidth="1"/>
    <col min="10" max="10" width="9.42578125" style="14" bestFit="1" customWidth="1"/>
    <col min="11" max="11" width="10.42578125" style="14" bestFit="1" customWidth="1"/>
    <col min="12" max="12" width="12.140625" style="14" customWidth="1"/>
    <col min="13" max="13" width="9.42578125" style="14" bestFit="1" customWidth="1"/>
    <col min="14" max="14" width="10.42578125" style="14" bestFit="1" customWidth="1"/>
    <col min="15" max="15" width="13.140625" style="14" customWidth="1"/>
    <col min="16" max="16" width="9.42578125" style="14" bestFit="1" customWidth="1"/>
    <col min="17" max="17" width="10.42578125" style="14" bestFit="1" customWidth="1"/>
    <col min="18" max="18" width="14.7109375" style="14" customWidth="1"/>
    <col min="19" max="19" width="9.28515625" style="14" bestFit="1" customWidth="1"/>
    <col min="20" max="20" width="10.28515625" style="14" bestFit="1" customWidth="1"/>
    <col min="21" max="21" width="13.5703125" style="14" customWidth="1"/>
    <col min="22" max="22" width="13.85546875" style="14" customWidth="1"/>
    <col min="23" max="23" width="10.28515625" style="14" bestFit="1" customWidth="1"/>
    <col min="24" max="24" width="13" style="14" customWidth="1"/>
    <col min="25" max="25" width="12.85546875" style="14" customWidth="1"/>
    <col min="26" max="26" width="12.42578125" style="14" customWidth="1"/>
    <col min="27" max="27" width="17.5703125" style="14" customWidth="1"/>
    <col min="28" max="28" width="15.28515625" style="14" customWidth="1"/>
    <col min="29" max="29" width="12.7109375" style="14" customWidth="1"/>
    <col min="30" max="30" width="17.42578125" style="14" customWidth="1"/>
    <col min="31" max="31" width="17.28515625" style="14" customWidth="1"/>
    <col min="32" max="32" width="13.7109375" style="14" customWidth="1"/>
    <col min="33" max="33" width="19" style="14" customWidth="1"/>
    <col min="34" max="34" width="15.7109375" style="14" customWidth="1"/>
    <col min="35" max="35" width="16.85546875" style="14" customWidth="1"/>
    <col min="36" max="36" width="17.28515625" style="14" customWidth="1"/>
    <col min="37" max="37" width="18.140625" style="14" customWidth="1"/>
    <col min="38" max="38" width="16.28515625" style="14" customWidth="1"/>
    <col min="39" max="16384" width="9.140625" style="14"/>
  </cols>
  <sheetData>
    <row r="1" spans="1:38" ht="75.75" thickBot="1" x14ac:dyDescent="0.25">
      <c r="A1" s="223" t="s">
        <v>88</v>
      </c>
      <c r="E1" s="224" t="s">
        <v>77</v>
      </c>
      <c r="H1" s="225" t="s">
        <v>89</v>
      </c>
    </row>
    <row r="2" spans="1:38" s="210" customFormat="1" ht="63" x14ac:dyDescent="0.25">
      <c r="A2" s="210" t="s">
        <v>16</v>
      </c>
      <c r="B2" s="189" t="s">
        <v>63</v>
      </c>
      <c r="C2" s="226" t="s">
        <v>83</v>
      </c>
      <c r="D2" s="227" t="s">
        <v>82</v>
      </c>
      <c r="E2" s="228" t="s">
        <v>76</v>
      </c>
      <c r="F2" s="229" t="s">
        <v>84</v>
      </c>
      <c r="G2" s="230" t="s">
        <v>82</v>
      </c>
      <c r="H2" s="230" t="s">
        <v>81</v>
      </c>
      <c r="I2" s="209" t="s">
        <v>85</v>
      </c>
      <c r="J2" s="231" t="s">
        <v>82</v>
      </c>
      <c r="K2" s="232" t="s">
        <v>80</v>
      </c>
      <c r="L2" s="226" t="s">
        <v>86</v>
      </c>
      <c r="M2" s="227" t="s">
        <v>82</v>
      </c>
      <c r="N2" s="228" t="s">
        <v>79</v>
      </c>
      <c r="O2" s="209" t="s">
        <v>87</v>
      </c>
      <c r="P2" s="231" t="s">
        <v>82</v>
      </c>
      <c r="Q2" s="232" t="s">
        <v>78</v>
      </c>
      <c r="R2" s="209" t="s">
        <v>97</v>
      </c>
      <c r="S2" s="231" t="s">
        <v>82</v>
      </c>
      <c r="T2" s="232"/>
      <c r="U2" s="233" t="s">
        <v>98</v>
      </c>
      <c r="V2" s="234" t="s">
        <v>82</v>
      </c>
      <c r="W2" s="235"/>
      <c r="X2" s="233" t="s">
        <v>99</v>
      </c>
      <c r="Y2" s="236" t="s">
        <v>82</v>
      </c>
      <c r="Z2" s="237"/>
      <c r="AA2" s="233" t="s">
        <v>156</v>
      </c>
      <c r="AB2" s="234" t="s">
        <v>82</v>
      </c>
      <c r="AC2" s="234"/>
      <c r="AD2" s="199" t="s">
        <v>147</v>
      </c>
      <c r="AE2" s="200" t="s">
        <v>82</v>
      </c>
      <c r="AF2" s="217"/>
      <c r="AG2" s="238" t="s">
        <v>162</v>
      </c>
      <c r="AH2" s="200" t="s">
        <v>82</v>
      </c>
      <c r="AI2" s="217"/>
      <c r="AJ2" s="199" t="s">
        <v>163</v>
      </c>
      <c r="AK2" s="200" t="s">
        <v>82</v>
      </c>
      <c r="AL2" s="201"/>
    </row>
    <row r="3" spans="1:38" ht="15.75" x14ac:dyDescent="0.25">
      <c r="A3" s="5" t="s">
        <v>12</v>
      </c>
      <c r="B3" s="6">
        <v>313.08813559322033</v>
      </c>
      <c r="C3" s="239">
        <v>26265.000207206969</v>
      </c>
      <c r="D3" s="240">
        <f t="shared" ref="D3:D15" si="0">C3/B3</f>
        <v>83.890116619850971</v>
      </c>
      <c r="E3" s="241">
        <f t="shared" ref="E3:E14" si="1">C3/1500198</f>
        <v>1.7507689123173721E-2</v>
      </c>
      <c r="F3" s="242">
        <v>26339.993121575299</v>
      </c>
      <c r="G3" s="243">
        <f t="shared" ref="G3:G15" si="2">F3/B3</f>
        <v>84.129643148782634</v>
      </c>
      <c r="H3" s="244">
        <f t="shared" ref="H3:H14" si="3">F3/1500198</f>
        <v>1.7557677800913812E-2</v>
      </c>
      <c r="I3" s="245">
        <v>26847.39487468281</v>
      </c>
      <c r="J3" s="246">
        <f t="shared" ref="J3:J15" si="4">I3/B3</f>
        <v>85.750278667743189</v>
      </c>
      <c r="K3" s="247">
        <f t="shared" ref="K3:K14" si="5">I3/1500198</f>
        <v>1.7895900990857746E-2</v>
      </c>
      <c r="L3" s="242">
        <v>26904.927968507556</v>
      </c>
      <c r="M3" s="243">
        <f t="shared" ref="M3:M15" si="6">L3/B3</f>
        <v>85.934038725324854</v>
      </c>
      <c r="N3" s="244">
        <f t="shared" ref="N3:N14" si="7">L3/1500198</f>
        <v>1.7934251324496872E-2</v>
      </c>
      <c r="O3" s="245">
        <v>28328.397681497685</v>
      </c>
      <c r="P3" s="246">
        <f t="shared" ref="P3:P15" si="8">O3/B3</f>
        <v>90.480585052585155</v>
      </c>
      <c r="Q3" s="248">
        <f t="shared" ref="Q3:Q15" si="9">O3/1500198</f>
        <v>1.8883105884355055E-2</v>
      </c>
      <c r="R3" s="180">
        <v>28239.042859850553</v>
      </c>
      <c r="S3" s="198">
        <f>(R3/B3)</f>
        <v>90.195186752589436</v>
      </c>
      <c r="T3" s="248">
        <f>R3/1500198</f>
        <v>1.8823543865443465E-2</v>
      </c>
      <c r="U3" s="195">
        <v>27574</v>
      </c>
      <c r="V3" s="198">
        <f>(U3/B3)</f>
        <v>88.071047303515556</v>
      </c>
      <c r="W3" s="248">
        <f>U3/1500198</f>
        <v>1.8380240474923978E-2</v>
      </c>
      <c r="X3" s="195">
        <v>32553</v>
      </c>
      <c r="Y3" s="198">
        <f>(X3/B3)</f>
        <v>103.9739175626076</v>
      </c>
      <c r="Z3" s="218">
        <f>X3/1500198</f>
        <v>2.169913571408574E-2</v>
      </c>
      <c r="AA3" s="196">
        <v>40897.477427784259</v>
      </c>
      <c r="AB3" s="198">
        <f>(AA3/B3)</f>
        <v>130.62608504884483</v>
      </c>
      <c r="AC3" s="218">
        <f>AA3/1500198</f>
        <v>2.7261386448844925E-2</v>
      </c>
      <c r="AD3" s="196">
        <v>32596.701270401274</v>
      </c>
      <c r="AE3" s="198">
        <f>(AD3/B3)</f>
        <v>104.11349893102474</v>
      </c>
      <c r="AF3" s="218">
        <f>AD3/1500198</f>
        <v>2.1728266049149028E-2</v>
      </c>
      <c r="AG3" s="196">
        <v>35230.069017207381</v>
      </c>
      <c r="AH3" s="198">
        <f>(AG3/B3)</f>
        <v>112.52444603324106</v>
      </c>
      <c r="AI3" s="218">
        <f>AG3/1500198</f>
        <v>2.3483612841243211E-2</v>
      </c>
      <c r="AJ3" s="196">
        <v>27263.646875868788</v>
      </c>
      <c r="AK3" s="198">
        <f>(AJ3/B3)</f>
        <v>87.079782899506199</v>
      </c>
      <c r="AL3" s="202">
        <f>AJ3/1500198</f>
        <v>1.8173365699640173E-2</v>
      </c>
    </row>
    <row r="4" spans="1:38" ht="15.75" x14ac:dyDescent="0.25">
      <c r="A4" s="5" t="s">
        <v>6</v>
      </c>
      <c r="B4" s="6">
        <v>385.73276836158192</v>
      </c>
      <c r="C4" s="239">
        <v>26265.000207206969</v>
      </c>
      <c r="D4" s="240">
        <f t="shared" si="0"/>
        <v>68.091182190117763</v>
      </c>
      <c r="E4" s="241">
        <f t="shared" si="1"/>
        <v>1.7507689123173721E-2</v>
      </c>
      <c r="F4" s="242">
        <v>27030.501329522511</v>
      </c>
      <c r="G4" s="243">
        <f t="shared" si="2"/>
        <v>70.075719634439764</v>
      </c>
      <c r="H4" s="244">
        <f t="shared" si="3"/>
        <v>1.8017955849509538E-2</v>
      </c>
      <c r="I4" s="245">
        <v>27655.63355475627</v>
      </c>
      <c r="J4" s="246">
        <f t="shared" si="4"/>
        <v>71.696355153400305</v>
      </c>
      <c r="K4" s="247">
        <f t="shared" si="5"/>
        <v>1.8434655661956803E-2</v>
      </c>
      <c r="L4" s="242">
        <v>27726.515830481534</v>
      </c>
      <c r="M4" s="243">
        <f t="shared" si="6"/>
        <v>71.880115210981984</v>
      </c>
      <c r="N4" s="244">
        <f t="shared" si="7"/>
        <v>1.8481904275623306E-2</v>
      </c>
      <c r="O4" s="245">
        <v>29082.110869034728</v>
      </c>
      <c r="P4" s="246">
        <f t="shared" si="8"/>
        <v>75.394452466567373</v>
      </c>
      <c r="Q4" s="248">
        <f t="shared" si="9"/>
        <v>1.9385515024706559E-2</v>
      </c>
      <c r="R4" s="180">
        <v>28972.023392691695</v>
      </c>
      <c r="S4" s="198">
        <f t="shared" ref="S4:S15" si="10">(R4/B4)</f>
        <v>75.109054166571653</v>
      </c>
      <c r="T4" s="248">
        <f t="shared" ref="T4:T15" si="11">R4/1500198</f>
        <v>1.9312133060230514E-2</v>
      </c>
      <c r="U4" s="195">
        <v>28152</v>
      </c>
      <c r="V4" s="198">
        <f t="shared" ref="V4:V15" si="12">(U4/B4)</f>
        <v>72.983169461015578</v>
      </c>
      <c r="W4" s="248">
        <f t="shared" ref="W4:W15" si="13">U4/1500198</f>
        <v>1.8765522950970472E-2</v>
      </c>
      <c r="X4" s="195">
        <v>33304</v>
      </c>
      <c r="Y4" s="198">
        <f t="shared" ref="Y4:Y15" si="14">(X4/B4)</f>
        <v>86.339566486560912</v>
      </c>
      <c r="Z4" s="218">
        <f t="shared" ref="Z4:Z15" si="15">X4/1500198</f>
        <v>2.2199736301474871E-2</v>
      </c>
      <c r="AA4" s="196">
        <v>41276.486896322436</v>
      </c>
      <c r="AB4" s="198">
        <f t="shared" ref="AB4:AB15" si="16">(AA4/B4)</f>
        <v>107.00798656968205</v>
      </c>
      <c r="AC4" s="218">
        <f t="shared" ref="AC4:AC15" si="17">AA4/1500198</f>
        <v>2.751402607943914E-2</v>
      </c>
      <c r="AD4" s="196">
        <v>33291.782284121829</v>
      </c>
      <c r="AE4" s="198">
        <f t="shared" ref="AE4:AE15" si="18">(AD4/B4)</f>
        <v>86.307892444632699</v>
      </c>
      <c r="AF4" s="218">
        <f t="shared" ref="AF4:AF15" si="19">AD4/1500198</f>
        <v>2.2191592232573186E-2</v>
      </c>
      <c r="AG4" s="196">
        <v>35654.692874141117</v>
      </c>
      <c r="AH4" s="198">
        <f t="shared" ref="AH4:AH15" si="20">(AG4/B4)</f>
        <v>92.433663402738901</v>
      </c>
      <c r="AI4" s="218">
        <f t="shared" ref="AI4:AI15" si="21">AG4/1500198</f>
        <v>2.3766658050564736E-2</v>
      </c>
      <c r="AJ4" s="196">
        <v>27770.310039877557</v>
      </c>
      <c r="AK4" s="198">
        <f t="shared" ref="AK4:AK15" si="22">(AJ4/B4)</f>
        <v>71.993650313488416</v>
      </c>
      <c r="AL4" s="202">
        <f t="shared" ref="AL4:AL15" si="23">AJ4/1500198</f>
        <v>1.8511096561838875E-2</v>
      </c>
    </row>
    <row r="5" spans="1:38" ht="15.75" x14ac:dyDescent="0.25">
      <c r="A5" s="5" t="s">
        <v>3</v>
      </c>
      <c r="B5" s="6">
        <v>859.45762711864404</v>
      </c>
      <c r="C5" s="239">
        <v>31885.698688787787</v>
      </c>
      <c r="D5" s="240">
        <f t="shared" si="0"/>
        <v>37.099791406454194</v>
      </c>
      <c r="E5" s="241">
        <f t="shared" si="1"/>
        <v>2.1254326888042636E-2</v>
      </c>
      <c r="F5" s="242">
        <v>31533.392882755725</v>
      </c>
      <c r="G5" s="243">
        <f t="shared" si="2"/>
        <v>36.689874972047562</v>
      </c>
      <c r="H5" s="244">
        <f t="shared" si="3"/>
        <v>2.1019487349507014E-2</v>
      </c>
      <c r="I5" s="245">
        <v>32926.260440305748</v>
      </c>
      <c r="J5" s="246">
        <f t="shared" si="4"/>
        <v>38.31051049100811</v>
      </c>
      <c r="K5" s="247">
        <f t="shared" si="5"/>
        <v>2.1947943165039379E-2</v>
      </c>
      <c r="L5" s="242">
        <v>33084.194423354085</v>
      </c>
      <c r="M5" s="243">
        <f t="shared" si="6"/>
        <v>38.494270548589789</v>
      </c>
      <c r="N5" s="244">
        <f t="shared" si="7"/>
        <v>2.2053218590715417E-2</v>
      </c>
      <c r="O5" s="245">
        <v>33997.170106072073</v>
      </c>
      <c r="P5" s="246">
        <f t="shared" si="8"/>
        <v>39.556540117106813</v>
      </c>
      <c r="Q5" s="248">
        <f t="shared" si="9"/>
        <v>2.2661788714604388E-2</v>
      </c>
      <c r="R5" s="180">
        <v>33751.882360374068</v>
      </c>
      <c r="S5" s="198">
        <f t="shared" si="10"/>
        <v>39.271141817111108</v>
      </c>
      <c r="T5" s="248">
        <f t="shared" si="11"/>
        <v>2.2498285133278451E-2</v>
      </c>
      <c r="U5" s="195">
        <v>31926</v>
      </c>
      <c r="V5" s="198">
        <f t="shared" si="12"/>
        <v>37.146682969156743</v>
      </c>
      <c r="W5" s="248">
        <f t="shared" si="13"/>
        <v>2.1281190882803471E-2</v>
      </c>
      <c r="X5" s="195">
        <v>38203</v>
      </c>
      <c r="Y5" s="198">
        <f t="shared" si="14"/>
        <v>44.450126212826383</v>
      </c>
      <c r="Z5" s="218">
        <f t="shared" si="15"/>
        <v>2.5465305246374144E-2</v>
      </c>
      <c r="AA5" s="196">
        <v>43748.055684113642</v>
      </c>
      <c r="AB5" s="198">
        <f t="shared" si="16"/>
        <v>50.901934317320837</v>
      </c>
      <c r="AC5" s="218">
        <f t="shared" si="17"/>
        <v>2.9161521135285903E-2</v>
      </c>
      <c r="AD5" s="196">
        <v>37824.493683454479</v>
      </c>
      <c r="AE5" s="198">
        <f t="shared" si="18"/>
        <v>44.009724842703605</v>
      </c>
      <c r="AF5" s="218">
        <f t="shared" si="19"/>
        <v>2.5213001006170171E-2</v>
      </c>
      <c r="AG5" s="196">
        <v>38423.718870765355</v>
      </c>
      <c r="AH5" s="198">
        <f t="shared" si="20"/>
        <v>44.706938025068155</v>
      </c>
      <c r="AI5" s="218">
        <f t="shared" si="21"/>
        <v>2.561243173952062E-2</v>
      </c>
      <c r="AJ5" s="196">
        <v>31074.324757286868</v>
      </c>
      <c r="AK5" s="198">
        <f t="shared" si="22"/>
        <v>36.155737964027871</v>
      </c>
      <c r="AL5" s="202">
        <f t="shared" si="23"/>
        <v>2.0713482325190987E-2</v>
      </c>
    </row>
    <row r="6" spans="1:38" ht="15.75" x14ac:dyDescent="0.25">
      <c r="A6" s="5" t="s">
        <v>5</v>
      </c>
      <c r="B6" s="6">
        <v>1098.8779661016949</v>
      </c>
      <c r="C6" s="239">
        <v>51300.645964539835</v>
      </c>
      <c r="D6" s="240">
        <f t="shared" si="0"/>
        <v>46.684570577505099</v>
      </c>
      <c r="E6" s="241">
        <f t="shared" si="1"/>
        <v>3.4195916782011331E-2</v>
      </c>
      <c r="F6" s="242">
        <v>47057.55232866625</v>
      </c>
      <c r="G6" s="243">
        <f t="shared" si="2"/>
        <v>42.823274085296696</v>
      </c>
      <c r="H6" s="249">
        <f t="shared" si="3"/>
        <v>3.1367561034387627E-2</v>
      </c>
      <c r="I6" s="245">
        <v>48838.432991533788</v>
      </c>
      <c r="J6" s="246">
        <f t="shared" si="4"/>
        <v>44.443909604257243</v>
      </c>
      <c r="K6" s="247">
        <f t="shared" si="5"/>
        <v>3.2554658112818297E-2</v>
      </c>
      <c r="L6" s="242">
        <v>49040.362869859862</v>
      </c>
      <c r="M6" s="243">
        <f t="shared" si="6"/>
        <v>44.627669661838915</v>
      </c>
      <c r="N6" s="244">
        <f t="shared" si="7"/>
        <v>3.2689260264218367E-2</v>
      </c>
      <c r="O6" s="245">
        <v>50759.238921335011</v>
      </c>
      <c r="P6" s="246">
        <f t="shared" si="8"/>
        <v>46.191879796630239</v>
      </c>
      <c r="Q6" s="248">
        <f t="shared" si="9"/>
        <v>3.3835026390739764E-2</v>
      </c>
      <c r="R6" s="180">
        <v>50445.621017906844</v>
      </c>
      <c r="S6" s="198">
        <f t="shared" si="10"/>
        <v>45.906481496634527</v>
      </c>
      <c r="T6" s="272">
        <f t="shared" si="11"/>
        <v>3.3625975383187318E-2</v>
      </c>
      <c r="U6" s="195">
        <v>48111</v>
      </c>
      <c r="V6" s="198">
        <f t="shared" si="12"/>
        <v>43.781931646764498</v>
      </c>
      <c r="W6" s="64">
        <f t="shared" si="13"/>
        <v>3.2069766790783619E-2</v>
      </c>
      <c r="X6" s="195">
        <v>56221</v>
      </c>
      <c r="Y6" s="198">
        <f t="shared" si="14"/>
        <v>51.162187007394287</v>
      </c>
      <c r="Z6" s="218">
        <f t="shared" si="15"/>
        <v>3.7475719871643609E-2</v>
      </c>
      <c r="AA6" s="208">
        <v>61893</v>
      </c>
      <c r="AB6" s="198">
        <f>(AA12/B6)</f>
        <v>43.376364798854532</v>
      </c>
      <c r="AC6" s="220">
        <f>AA12/1500198</f>
        <v>3.1772693689133318E-2</v>
      </c>
      <c r="AD6" s="196">
        <v>53843.324066702509</v>
      </c>
      <c r="AE6" s="198">
        <f t="shared" si="18"/>
        <v>48.998456359729772</v>
      </c>
      <c r="AF6" s="219">
        <f t="shared" si="19"/>
        <v>3.5890811790645308E-2</v>
      </c>
      <c r="AG6" s="196">
        <v>59093.183413335704</v>
      </c>
      <c r="AH6" s="198">
        <f t="shared" si="20"/>
        <v>53.775928935012395</v>
      </c>
      <c r="AI6" s="218">
        <f t="shared" si="21"/>
        <v>3.9390256095085917E-2</v>
      </c>
      <c r="AJ6" s="196">
        <v>59881.41389592897</v>
      </c>
      <c r="AK6" s="198">
        <f t="shared" si="22"/>
        <v>54.493233774047013</v>
      </c>
      <c r="AL6" s="206">
        <f t="shared" si="23"/>
        <v>3.9915673728353834E-2</v>
      </c>
    </row>
    <row r="7" spans="1:38" ht="15.75" x14ac:dyDescent="0.25">
      <c r="A7" s="5" t="s">
        <v>14</v>
      </c>
      <c r="B7" s="6">
        <v>1189.939548022599</v>
      </c>
      <c r="C7" s="239">
        <v>51300.645964539835</v>
      </c>
      <c r="D7" s="240">
        <f t="shared" si="0"/>
        <v>43.111976612416576</v>
      </c>
      <c r="E7" s="241">
        <f t="shared" si="1"/>
        <v>3.4195916782011331E-2</v>
      </c>
      <c r="F7" s="242">
        <v>47923.118955529651</v>
      </c>
      <c r="G7" s="243">
        <f t="shared" si="2"/>
        <v>40.273574430874795</v>
      </c>
      <c r="H7" s="249">
        <f t="shared" si="3"/>
        <v>3.1944529292486493E-2</v>
      </c>
      <c r="I7" s="245">
        <v>49851.577252470946</v>
      </c>
      <c r="J7" s="246">
        <f t="shared" si="4"/>
        <v>41.89420994983535</v>
      </c>
      <c r="K7" s="247">
        <f t="shared" si="5"/>
        <v>3.3229998475181904E-2</v>
      </c>
      <c r="L7" s="242">
        <v>50070.240612334281</v>
      </c>
      <c r="M7" s="243">
        <f t="shared" si="6"/>
        <v>42.077970007417015</v>
      </c>
      <c r="N7" s="244">
        <f t="shared" si="7"/>
        <v>3.3375754808588121E-2</v>
      </c>
      <c r="O7" s="245">
        <v>51704.034325430737</v>
      </c>
      <c r="P7" s="246">
        <f t="shared" si="8"/>
        <v>43.450975649435925</v>
      </c>
      <c r="Q7" s="248">
        <f t="shared" si="9"/>
        <v>3.4464806862447982E-2</v>
      </c>
      <c r="R7" s="180">
        <v>51364.427601327436</v>
      </c>
      <c r="S7" s="198">
        <f t="shared" si="10"/>
        <v>43.165577349440227</v>
      </c>
      <c r="T7" s="272">
        <f t="shared" si="11"/>
        <v>3.4238432261159815E-2</v>
      </c>
      <c r="U7" s="195">
        <v>48836</v>
      </c>
      <c r="V7" s="198">
        <f t="shared" si="12"/>
        <v>41.040740331014298</v>
      </c>
      <c r="W7" s="248">
        <f t="shared" si="13"/>
        <v>3.2553036332537436E-2</v>
      </c>
      <c r="X7" s="195">
        <v>57133</v>
      </c>
      <c r="Y7" s="198">
        <f t="shared" si="14"/>
        <v>48.013363447699234</v>
      </c>
      <c r="Z7" s="218">
        <f t="shared" si="15"/>
        <v>3.8083639626236003E-2</v>
      </c>
      <c r="AA7" s="196">
        <v>62368</v>
      </c>
      <c r="AB7" s="198">
        <f t="shared" si="16"/>
        <v>52.412746600145375</v>
      </c>
      <c r="AC7" s="218">
        <f t="shared" si="17"/>
        <v>4.157317900703774E-2</v>
      </c>
      <c r="AD7" s="196">
        <v>55264.622802211379</v>
      </c>
      <c r="AE7" s="198">
        <f t="shared" si="18"/>
        <v>46.443218812290297</v>
      </c>
      <c r="AF7" s="218">
        <f t="shared" si="19"/>
        <v>3.6838219223203454E-2</v>
      </c>
      <c r="AG7" s="196">
        <v>59625.458388928702</v>
      </c>
      <c r="AH7" s="198">
        <f t="shared" si="20"/>
        <v>50.107972701648805</v>
      </c>
      <c r="AI7" s="218">
        <f t="shared" si="21"/>
        <v>3.9745059244798819E-2</v>
      </c>
      <c r="AJ7" s="196">
        <v>61627.721006485473</v>
      </c>
      <c r="AK7" s="198">
        <f t="shared" si="22"/>
        <v>51.790631808898461</v>
      </c>
      <c r="AL7" s="206">
        <f t="shared" si="23"/>
        <v>4.107972481398154E-2</v>
      </c>
    </row>
    <row r="8" spans="1:38" ht="15.75" x14ac:dyDescent="0.25">
      <c r="A8" s="5" t="s">
        <v>4</v>
      </c>
      <c r="B8" s="6">
        <v>1377.1785310734463</v>
      </c>
      <c r="C8" s="239">
        <v>52733.507641656928</v>
      </c>
      <c r="D8" s="240">
        <f t="shared" si="0"/>
        <v>38.290974228703398</v>
      </c>
      <c r="E8" s="241">
        <f t="shared" si="1"/>
        <v>3.5151031824903735E-2</v>
      </c>
      <c r="F8" s="242">
        <v>49702.879547844292</v>
      </c>
      <c r="G8" s="243">
        <f t="shared" si="2"/>
        <v>36.090367680291401</v>
      </c>
      <c r="H8" s="249">
        <f t="shared" si="3"/>
        <v>3.3130879755768436E-2</v>
      </c>
      <c r="I8" s="245">
        <v>51934.783991251839</v>
      </c>
      <c r="J8" s="246">
        <f t="shared" si="4"/>
        <v>37.711003199251955</v>
      </c>
      <c r="K8" s="247">
        <f t="shared" si="5"/>
        <v>3.4618619669704823E-2</v>
      </c>
      <c r="L8" s="242">
        <v>52187.854397422139</v>
      </c>
      <c r="M8" s="243">
        <f t="shared" si="6"/>
        <v>37.894763256833627</v>
      </c>
      <c r="N8" s="244">
        <f t="shared" si="7"/>
        <v>3.4787311006561891E-2</v>
      </c>
      <c r="O8" s="245">
        <v>53646.703527110731</v>
      </c>
      <c r="P8" s="246">
        <f t="shared" si="8"/>
        <v>38.954066097222437</v>
      </c>
      <c r="Q8" s="248">
        <f t="shared" si="9"/>
        <v>3.5759748731241298E-2</v>
      </c>
      <c r="R8" s="180">
        <v>53253.659115551782</v>
      </c>
      <c r="S8" s="198">
        <f t="shared" si="10"/>
        <v>38.668667797226732</v>
      </c>
      <c r="T8" s="272">
        <f t="shared" si="11"/>
        <v>3.5497753706878549E-2</v>
      </c>
      <c r="U8" s="195">
        <v>50327</v>
      </c>
      <c r="V8" s="198">
        <f t="shared" si="12"/>
        <v>36.543555439230133</v>
      </c>
      <c r="W8" s="248">
        <f t="shared" si="13"/>
        <v>3.3546905141854606E-2</v>
      </c>
      <c r="X8" s="195">
        <v>59008</v>
      </c>
      <c r="Y8" s="198">
        <f t="shared" si="14"/>
        <v>42.847022857672656</v>
      </c>
      <c r="Z8" s="218">
        <f t="shared" si="15"/>
        <v>3.9333474648013129E-2</v>
      </c>
      <c r="AA8" s="196">
        <v>63345</v>
      </c>
      <c r="AB8" s="198">
        <f t="shared" si="16"/>
        <v>45.996215138951911</v>
      </c>
      <c r="AC8" s="218">
        <f t="shared" si="17"/>
        <v>4.2224426375718403E-2</v>
      </c>
      <c r="AD8" s="196">
        <v>57056.169640392531</v>
      </c>
      <c r="AE8" s="198">
        <f t="shared" si="18"/>
        <v>41.429755367969548</v>
      </c>
      <c r="AF8" s="219">
        <f t="shared" si="19"/>
        <v>3.8032426146676991E-2</v>
      </c>
      <c r="AG8" s="196">
        <v>60719.911428631152</v>
      </c>
      <c r="AH8" s="198">
        <f t="shared" si="20"/>
        <v>44.090079868804537</v>
      </c>
      <c r="AI8" s="218">
        <f t="shared" si="21"/>
        <v>4.0474598305444448E-2</v>
      </c>
      <c r="AJ8" s="196">
        <v>65218.442368640957</v>
      </c>
      <c r="AK8" s="198">
        <f t="shared" si="22"/>
        <v>47.356563362780733</v>
      </c>
      <c r="AL8" s="206">
        <f t="shared" si="23"/>
        <v>4.3473223113642968E-2</v>
      </c>
    </row>
    <row r="9" spans="1:38" ht="15.75" x14ac:dyDescent="0.25">
      <c r="A9" s="5" t="s">
        <v>10</v>
      </c>
      <c r="B9" s="6">
        <v>2040.1887005649717</v>
      </c>
      <c r="C9" s="239">
        <v>60735.390514066617</v>
      </c>
      <c r="D9" s="240">
        <f t="shared" si="0"/>
        <v>29.76949656531658</v>
      </c>
      <c r="E9" s="241">
        <f t="shared" si="1"/>
        <v>4.0484916333755019E-2</v>
      </c>
      <c r="F9" s="242">
        <v>56004.982628827274</v>
      </c>
      <c r="G9" s="243">
        <f t="shared" si="2"/>
        <v>27.450883642928865</v>
      </c>
      <c r="H9" s="249">
        <f t="shared" si="3"/>
        <v>3.7331727297881527E-2</v>
      </c>
      <c r="I9" s="245">
        <v>59311.384902344842</v>
      </c>
      <c r="J9" s="246">
        <f t="shared" si="4"/>
        <v>29.071519161889416</v>
      </c>
      <c r="K9" s="247">
        <f t="shared" si="5"/>
        <v>3.9535704555228604E-2</v>
      </c>
      <c r="L9" s="242">
        <v>59686.29009543814</v>
      </c>
      <c r="M9" s="243">
        <f t="shared" si="6"/>
        <v>29.255279219471088</v>
      </c>
      <c r="N9" s="244">
        <f t="shared" si="7"/>
        <v>3.978560836332147E-2</v>
      </c>
      <c r="O9" s="245">
        <v>60525.663323223467</v>
      </c>
      <c r="P9" s="246">
        <f t="shared" si="8"/>
        <v>29.666698627662541</v>
      </c>
      <c r="Q9" s="248">
        <f t="shared" si="9"/>
        <v>4.0345116660083183E-2</v>
      </c>
      <c r="R9" s="180">
        <v>60679.010911553021</v>
      </c>
      <c r="S9" s="198">
        <f t="shared" si="10"/>
        <v>29.741862061460154</v>
      </c>
      <c r="T9" s="272">
        <f t="shared" si="11"/>
        <v>4.0447334892829492E-2</v>
      </c>
      <c r="U9" s="195">
        <v>64760</v>
      </c>
      <c r="V9" s="198">
        <f t="shared" si="12"/>
        <v>31.742161880450851</v>
      </c>
      <c r="W9" s="250">
        <f t="shared" si="13"/>
        <v>4.3167635205486207E-2</v>
      </c>
      <c r="X9" s="195">
        <v>65649</v>
      </c>
      <c r="Y9" s="198">
        <f t="shared" si="14"/>
        <v>32.177905887734987</v>
      </c>
      <c r="Z9" s="218">
        <f t="shared" si="15"/>
        <v>4.3760223650478138E-2</v>
      </c>
      <c r="AA9" s="196">
        <v>66804</v>
      </c>
      <c r="AB9" s="198">
        <f t="shared" si="16"/>
        <v>32.744029991686823</v>
      </c>
      <c r="AC9" s="218">
        <f t="shared" si="17"/>
        <v>4.4530122023892844E-2</v>
      </c>
      <c r="AD9" s="196">
        <v>63400.007624771693</v>
      </c>
      <c r="AE9" s="198">
        <f t="shared" si="18"/>
        <v>31.075560612219292</v>
      </c>
      <c r="AF9" s="218">
        <f t="shared" si="19"/>
        <v>4.2261093285534103E-2</v>
      </c>
      <c r="AG9" s="196">
        <v>64595.35170036443</v>
      </c>
      <c r="AH9" s="198">
        <f t="shared" si="20"/>
        <v>31.661459394651388</v>
      </c>
      <c r="AI9" s="218">
        <f t="shared" si="21"/>
        <v>4.3057884159533898E-2</v>
      </c>
      <c r="AJ9" s="196">
        <v>77977.12784774894</v>
      </c>
      <c r="AK9" s="198">
        <f t="shared" si="22"/>
        <v>38.220546867138033</v>
      </c>
      <c r="AL9" s="206">
        <f t="shared" si="23"/>
        <v>5.1977890816911461E-2</v>
      </c>
    </row>
    <row r="10" spans="1:38" ht="15.75" x14ac:dyDescent="0.25">
      <c r="A10" s="5" t="s">
        <v>11</v>
      </c>
      <c r="B10" s="6">
        <v>2912.9474576271186</v>
      </c>
      <c r="C10" s="239">
        <v>82444.300779160971</v>
      </c>
      <c r="D10" s="240">
        <f t="shared" si="0"/>
        <v>28.302707816885903</v>
      </c>
      <c r="E10" s="241">
        <f t="shared" si="1"/>
        <v>5.4955613045185349E-2</v>
      </c>
      <c r="F10" s="242">
        <v>64300.806591911365</v>
      </c>
      <c r="G10" s="243">
        <f t="shared" si="2"/>
        <v>22.074138832662186</v>
      </c>
      <c r="H10" s="249">
        <f t="shared" si="3"/>
        <v>4.286154667044708E-2</v>
      </c>
      <c r="I10" s="245">
        <v>69021.632706607721</v>
      </c>
      <c r="J10" s="246">
        <f t="shared" si="4"/>
        <v>23.69477435162274</v>
      </c>
      <c r="K10" s="251">
        <f t="shared" si="5"/>
        <v>4.6008348702376432E-2</v>
      </c>
      <c r="L10" s="242">
        <v>69556.916099153663</v>
      </c>
      <c r="M10" s="243">
        <f t="shared" si="6"/>
        <v>23.878534409204413</v>
      </c>
      <c r="N10" s="249">
        <f t="shared" si="7"/>
        <v>4.6365157198685551E-2</v>
      </c>
      <c r="O10" s="245">
        <v>69580.837252365716</v>
      </c>
      <c r="P10" s="246">
        <f t="shared" si="8"/>
        <v>23.886746419053548</v>
      </c>
      <c r="Q10" s="64">
        <f t="shared" si="9"/>
        <v>4.6381102529376599E-2</v>
      </c>
      <c r="R10" s="180">
        <v>85914.319467778725</v>
      </c>
      <c r="S10" s="198">
        <f t="shared" si="10"/>
        <v>29.493947528241502</v>
      </c>
      <c r="T10" s="255">
        <f t="shared" si="11"/>
        <v>5.7268653516255007E-2</v>
      </c>
      <c r="U10" s="195">
        <v>72166</v>
      </c>
      <c r="V10" s="198">
        <f t="shared" si="12"/>
        <v>24.774219600509472</v>
      </c>
      <c r="W10" s="64">
        <f t="shared" si="13"/>
        <v>4.8104316896836287E-2</v>
      </c>
      <c r="X10" s="195">
        <v>74391</v>
      </c>
      <c r="Y10" s="198">
        <f t="shared" si="14"/>
        <v>25.5380507482956</v>
      </c>
      <c r="Z10" s="220">
        <f t="shared" si="15"/>
        <v>4.9587454456011808E-2</v>
      </c>
      <c r="AA10" s="196">
        <v>71358</v>
      </c>
      <c r="AB10" s="198">
        <f t="shared" si="16"/>
        <v>24.496837323021296</v>
      </c>
      <c r="AC10" s="220">
        <f t="shared" si="17"/>
        <v>4.7565721324785128E-2</v>
      </c>
      <c r="AD10" s="196">
        <v>71750.76966285106</v>
      </c>
      <c r="AE10" s="198">
        <f t="shared" si="18"/>
        <v>24.631673144320665</v>
      </c>
      <c r="AF10" s="220">
        <f t="shared" si="19"/>
        <v>4.7827533207517314E-2</v>
      </c>
      <c r="AG10" s="196">
        <v>69696.818601272593</v>
      </c>
      <c r="AH10" s="198">
        <f t="shared" si="20"/>
        <v>23.926562224382682</v>
      </c>
      <c r="AI10" s="220">
        <f t="shared" si="21"/>
        <v>4.6458413223636211E-2</v>
      </c>
      <c r="AJ10" s="196">
        <v>95674.506109599402</v>
      </c>
      <c r="AK10" s="198">
        <f t="shared" si="22"/>
        <v>32.844569804748787</v>
      </c>
      <c r="AL10" s="206">
        <f t="shared" si="23"/>
        <v>6.3774585827737013E-2</v>
      </c>
    </row>
    <row r="11" spans="1:38" ht="15.75" x14ac:dyDescent="0.25">
      <c r="A11" s="5" t="s">
        <v>13</v>
      </c>
      <c r="B11" s="6">
        <v>8654.9429378531077</v>
      </c>
      <c r="C11" s="239">
        <v>199898.91056776606</v>
      </c>
      <c r="D11" s="240">
        <f t="shared" si="0"/>
        <v>23.096502426779924</v>
      </c>
      <c r="E11" s="241">
        <f t="shared" si="1"/>
        <v>0.13324835159610002</v>
      </c>
      <c r="F11" s="242">
        <v>189480.5485674511</v>
      </c>
      <c r="G11" s="243">
        <f t="shared" si="2"/>
        <v>21.8927553801357</v>
      </c>
      <c r="H11" s="249">
        <f t="shared" si="3"/>
        <v>0.1263036936240757</v>
      </c>
      <c r="I11" s="245">
        <v>203507.05650711263</v>
      </c>
      <c r="J11" s="246">
        <f t="shared" si="4"/>
        <v>23.513390899096251</v>
      </c>
      <c r="K11" s="252">
        <f t="shared" si="5"/>
        <v>0.13565346474739509</v>
      </c>
      <c r="L11" s="242">
        <v>205097.48931973864</v>
      </c>
      <c r="M11" s="243">
        <f t="shared" si="6"/>
        <v>23.697150956677927</v>
      </c>
      <c r="N11" s="253">
        <f t="shared" si="7"/>
        <v>0.13671361334953028</v>
      </c>
      <c r="O11" s="245">
        <v>204931.84702516595</v>
      </c>
      <c r="P11" s="246">
        <f t="shared" si="8"/>
        <v>23.678012494903875</v>
      </c>
      <c r="Q11" s="250">
        <f t="shared" si="9"/>
        <v>0.13660319972774657</v>
      </c>
      <c r="R11" s="180">
        <v>202461.74102414283</v>
      </c>
      <c r="S11" s="198">
        <f t="shared" si="10"/>
        <v>23.39261419490817</v>
      </c>
      <c r="T11" s="272">
        <f t="shared" si="11"/>
        <v>0.13495667973437028</v>
      </c>
      <c r="U11" s="195">
        <v>210474</v>
      </c>
      <c r="V11" s="198">
        <f t="shared" si="12"/>
        <v>24.318357903837192</v>
      </c>
      <c r="W11" s="250">
        <f t="shared" si="13"/>
        <v>0.14029748073254331</v>
      </c>
      <c r="X11" s="195">
        <v>201897</v>
      </c>
      <c r="Y11" s="198">
        <f t="shared" si="14"/>
        <v>23.327363501957571</v>
      </c>
      <c r="Z11" s="219">
        <f t="shared" si="15"/>
        <v>0.13458023540892602</v>
      </c>
      <c r="AA11" s="196">
        <v>199560</v>
      </c>
      <c r="AB11" s="198">
        <f t="shared" si="16"/>
        <v>23.057344390707403</v>
      </c>
      <c r="AC11" s="219">
        <f t="shared" si="17"/>
        <v>0.13302244103778302</v>
      </c>
      <c r="AD11" s="196">
        <v>201697</v>
      </c>
      <c r="AE11" s="198">
        <f t="shared" si="18"/>
        <v>23.304255319565598</v>
      </c>
      <c r="AF11" s="219">
        <f t="shared" si="19"/>
        <v>0.1344469196732698</v>
      </c>
      <c r="AG11" s="196">
        <v>204129</v>
      </c>
      <c r="AH11" s="198">
        <f t="shared" si="20"/>
        <v>23.58525081745195</v>
      </c>
      <c r="AI11" s="218">
        <f t="shared" si="21"/>
        <v>0.13606803901884951</v>
      </c>
      <c r="AJ11" s="196">
        <v>212106.0984473397</v>
      </c>
      <c r="AK11" s="198">
        <f t="shared" si="22"/>
        <v>24.506932046851073</v>
      </c>
      <c r="AL11" s="206">
        <f t="shared" si="23"/>
        <v>0.1413854027583957</v>
      </c>
    </row>
    <row r="12" spans="1:38" ht="15.75" x14ac:dyDescent="0.25">
      <c r="A12" s="5" t="s">
        <v>20</v>
      </c>
      <c r="B12" s="254">
        <v>9136</v>
      </c>
      <c r="C12" s="239">
        <v>148764.39444453805</v>
      </c>
      <c r="D12" s="240">
        <f t="shared" si="0"/>
        <v>16.283318130969576</v>
      </c>
      <c r="E12" s="241">
        <f t="shared" si="1"/>
        <v>9.9163173424133375E-2</v>
      </c>
      <c r="F12" s="242">
        <v>200012.21315291975</v>
      </c>
      <c r="G12" s="243">
        <f t="shared" si="2"/>
        <v>21.8927553801357</v>
      </c>
      <c r="H12" s="253">
        <f t="shared" si="3"/>
        <v>0.13332387668355761</v>
      </c>
      <c r="I12" s="245">
        <v>113171.89546666667</v>
      </c>
      <c r="J12" s="246">
        <f t="shared" si="4"/>
        <v>12.387466666666667</v>
      </c>
      <c r="K12" s="251">
        <f t="shared" si="5"/>
        <v>7.5437972498741276E-2</v>
      </c>
      <c r="L12" s="242">
        <v>103325.27567354284</v>
      </c>
      <c r="M12" s="243">
        <f t="shared" si="6"/>
        <v>11.309684290011257</v>
      </c>
      <c r="N12" s="249">
        <f t="shared" si="7"/>
        <v>6.8874425691503954E-2</v>
      </c>
      <c r="O12" s="245">
        <v>94789.159486775141</v>
      </c>
      <c r="P12" s="246">
        <f t="shared" si="8"/>
        <v>10.37534582823721</v>
      </c>
      <c r="Q12" s="64">
        <f t="shared" si="9"/>
        <v>6.3184432646074151E-2</v>
      </c>
      <c r="R12" s="180">
        <v>92181.760618014363</v>
      </c>
      <c r="S12" s="198">
        <f t="shared" si="10"/>
        <v>10.089947528241503</v>
      </c>
      <c r="T12" s="64">
        <f t="shared" si="11"/>
        <v>6.144639615438386E-2</v>
      </c>
      <c r="U12" s="195">
        <v>72768</v>
      </c>
      <c r="V12" s="198">
        <f t="shared" si="12"/>
        <v>7.9649737302977233</v>
      </c>
      <c r="W12" s="64">
        <f t="shared" si="13"/>
        <v>4.8505597261161527E-2</v>
      </c>
      <c r="X12" s="195">
        <v>73693</v>
      </c>
      <c r="Y12" s="198">
        <f t="shared" si="14"/>
        <v>8.0662215411558673</v>
      </c>
      <c r="Z12" s="220">
        <f t="shared" si="15"/>
        <v>4.9122182538571577E-2</v>
      </c>
      <c r="AA12" s="196">
        <v>47665.331527050424</v>
      </c>
      <c r="AB12" s="198">
        <f t="shared" si="16"/>
        <v>5.2173086172340657</v>
      </c>
      <c r="AC12" s="220">
        <f t="shared" si="17"/>
        <v>3.1772693689133318E-2</v>
      </c>
      <c r="AD12" s="196">
        <v>91166</v>
      </c>
      <c r="AE12" s="198">
        <f t="shared" si="18"/>
        <v>9.9787653239929952</v>
      </c>
      <c r="AF12" s="220">
        <f t="shared" si="19"/>
        <v>6.0769311784177819E-2</v>
      </c>
      <c r="AG12" s="196">
        <v>53402</v>
      </c>
      <c r="AH12" s="198">
        <f t="shared" si="20"/>
        <v>5.845227670753065</v>
      </c>
      <c r="AI12" s="220">
        <f t="shared" si="21"/>
        <v>3.5596634577569092E-2</v>
      </c>
      <c r="AJ12" s="196">
        <v>63719.431016245886</v>
      </c>
      <c r="AK12" s="198">
        <f t="shared" si="22"/>
        <v>6.9745436751582623</v>
      </c>
      <c r="AL12" s="207">
        <f t="shared" si="23"/>
        <v>4.2474014107635051E-2</v>
      </c>
    </row>
    <row r="13" spans="1:38" ht="15.75" x14ac:dyDescent="0.25">
      <c r="A13" s="5" t="s">
        <v>8</v>
      </c>
      <c r="B13" s="6">
        <v>12099.93559322034</v>
      </c>
      <c r="C13" s="239">
        <v>233095.64375855538</v>
      </c>
      <c r="D13" s="240">
        <f t="shared" si="0"/>
        <v>19.264205330907725</v>
      </c>
      <c r="E13" s="241">
        <f t="shared" si="1"/>
        <v>0.15537658612966782</v>
      </c>
      <c r="F13" s="242">
        <v>264900.93005777005</v>
      </c>
      <c r="G13" s="243">
        <f t="shared" si="2"/>
        <v>21.8927553801357</v>
      </c>
      <c r="H13" s="253">
        <f t="shared" si="3"/>
        <v>0.17657731183335137</v>
      </c>
      <c r="I13" s="245">
        <v>284510.515457278</v>
      </c>
      <c r="J13" s="246">
        <f t="shared" si="4"/>
        <v>23.513390899096258</v>
      </c>
      <c r="K13" s="252">
        <f t="shared" si="5"/>
        <v>0.18964864335059639</v>
      </c>
      <c r="L13" s="242">
        <v>286734.00031862268</v>
      </c>
      <c r="M13" s="243">
        <f t="shared" si="6"/>
        <v>23.697150956677927</v>
      </c>
      <c r="N13" s="253">
        <f t="shared" si="7"/>
        <v>0.19113077095064965</v>
      </c>
      <c r="O13" s="245">
        <v>286502.42616380338</v>
      </c>
      <c r="P13" s="246">
        <f t="shared" si="8"/>
        <v>23.678012494903879</v>
      </c>
      <c r="Q13" s="250">
        <f t="shared" si="9"/>
        <v>0.19097640855660611</v>
      </c>
      <c r="R13" s="180">
        <v>283049.12511544075</v>
      </c>
      <c r="S13" s="198">
        <f t="shared" si="10"/>
        <v>23.392614194908173</v>
      </c>
      <c r="T13" s="250">
        <f t="shared" si="11"/>
        <v>0.18867451170808169</v>
      </c>
      <c r="U13" s="195">
        <v>294250</v>
      </c>
      <c r="V13" s="198">
        <f t="shared" si="12"/>
        <v>24.318311261497119</v>
      </c>
      <c r="W13" s="255">
        <f t="shared" si="13"/>
        <v>0.19614077608422356</v>
      </c>
      <c r="X13" s="195">
        <v>281762</v>
      </c>
      <c r="Y13" s="198">
        <f t="shared" si="14"/>
        <v>23.28623965220714</v>
      </c>
      <c r="Z13" s="218">
        <f t="shared" si="15"/>
        <v>0.18781654154984875</v>
      </c>
      <c r="AA13" s="196">
        <v>278991.94922153658</v>
      </c>
      <c r="AB13" s="198">
        <f t="shared" si="16"/>
        <v>23.057308617234071</v>
      </c>
      <c r="AC13" s="218">
        <f t="shared" si="17"/>
        <v>0.18597008476316898</v>
      </c>
      <c r="AD13" s="196">
        <v>280487</v>
      </c>
      <c r="AE13" s="198">
        <f t="shared" si="18"/>
        <v>23.180867190496318</v>
      </c>
      <c r="AF13" s="218">
        <f t="shared" si="19"/>
        <v>0.18696665373504032</v>
      </c>
      <c r="AG13" s="196">
        <v>285380</v>
      </c>
      <c r="AH13" s="198">
        <f t="shared" si="20"/>
        <v>23.585249508261843</v>
      </c>
      <c r="AI13" s="218">
        <f t="shared" si="21"/>
        <v>0.19022822320786989</v>
      </c>
      <c r="AJ13" s="196">
        <v>281960.93914626306</v>
      </c>
      <c r="AK13" s="198">
        <f t="shared" si="22"/>
        <v>23.302680991479601</v>
      </c>
      <c r="AL13" s="206">
        <f t="shared" si="23"/>
        <v>0.18794915014302316</v>
      </c>
    </row>
    <row r="14" spans="1:38" ht="16.5" thickBot="1" x14ac:dyDescent="0.3">
      <c r="A14" s="5" t="s">
        <v>9</v>
      </c>
      <c r="B14" s="6">
        <v>22651.82429378531</v>
      </c>
      <c r="C14" s="239">
        <v>535508.62860440474</v>
      </c>
      <c r="D14" s="240">
        <f t="shared" si="0"/>
        <v>23.640860959323501</v>
      </c>
      <c r="E14" s="241">
        <f t="shared" si="1"/>
        <v>0.35695863386326654</v>
      </c>
      <c r="F14" s="242">
        <v>495910.84817765688</v>
      </c>
      <c r="G14" s="243">
        <f t="shared" si="2"/>
        <v>21.8927553801357</v>
      </c>
      <c r="H14" s="249">
        <f t="shared" si="3"/>
        <v>0.33056359772353844</v>
      </c>
      <c r="I14" s="245">
        <v>532621.19919741899</v>
      </c>
      <c r="J14" s="246">
        <f t="shared" si="4"/>
        <v>23.513390899096255</v>
      </c>
      <c r="K14" s="247">
        <f t="shared" si="5"/>
        <v>0.35503393498552788</v>
      </c>
      <c r="L14" s="242">
        <v>536783.69973397488</v>
      </c>
      <c r="M14" s="243">
        <f t="shared" si="6"/>
        <v>23.697150956677927</v>
      </c>
      <c r="N14" s="244">
        <f t="shared" si="7"/>
        <v>0.35780856909152986</v>
      </c>
      <c r="O14" s="245">
        <v>536350.1786606157</v>
      </c>
      <c r="P14" s="246">
        <f t="shared" si="8"/>
        <v>23.678012494903875</v>
      </c>
      <c r="Q14" s="248">
        <f t="shared" si="9"/>
        <v>0.35751959318744303</v>
      </c>
      <c r="R14" s="180">
        <v>529885.38651536789</v>
      </c>
      <c r="S14" s="198">
        <f t="shared" si="10"/>
        <v>23.392614194908166</v>
      </c>
      <c r="T14" s="64">
        <f t="shared" si="11"/>
        <v>0.35321030058390152</v>
      </c>
      <c r="U14" s="195">
        <v>550854</v>
      </c>
      <c r="V14" s="198">
        <f t="shared" si="12"/>
        <v>24.318306236868114</v>
      </c>
      <c r="W14" s="255">
        <f t="shared" si="13"/>
        <v>0.36718753124587555</v>
      </c>
      <c r="X14" s="195">
        <v>526385</v>
      </c>
      <c r="Y14" s="198">
        <f t="shared" si="14"/>
        <v>23.238084190173481</v>
      </c>
      <c r="Z14" s="220">
        <f t="shared" si="15"/>
        <v>0.3508770175670145</v>
      </c>
      <c r="AA14" s="197">
        <v>522290.10348516802</v>
      </c>
      <c r="AB14" s="203">
        <f t="shared" si="16"/>
        <v>23.057308617234067</v>
      </c>
      <c r="AC14" s="221">
        <f t="shared" si="17"/>
        <v>0.34814744686045979</v>
      </c>
      <c r="AD14" s="197">
        <v>521819</v>
      </c>
      <c r="AE14" s="203">
        <f t="shared" si="18"/>
        <v>23.036511021461735</v>
      </c>
      <c r="AF14" s="221">
        <f t="shared" si="19"/>
        <v>0.34783341932198281</v>
      </c>
      <c r="AG14" s="196">
        <v>534248</v>
      </c>
      <c r="AH14" s="198">
        <f t="shared" si="20"/>
        <v>23.585208549696137</v>
      </c>
      <c r="AI14" s="219">
        <f t="shared" si="21"/>
        <v>0.35611832571433905</v>
      </c>
      <c r="AJ14" s="196">
        <v>495923.80583114462</v>
      </c>
      <c r="AK14" s="198">
        <f t="shared" si="22"/>
        <v>21.893327415894042</v>
      </c>
      <c r="AL14" s="207">
        <f t="shared" si="23"/>
        <v>0.3305722350190739</v>
      </c>
    </row>
    <row r="15" spans="1:38" ht="16.5" thickBot="1" x14ac:dyDescent="0.3">
      <c r="A15" s="210" t="s">
        <v>19</v>
      </c>
      <c r="B15" s="16">
        <f>SUM(B3:B14)</f>
        <v>62720.113559322039</v>
      </c>
      <c r="C15" s="256">
        <f>SUM(C3:C14)</f>
        <v>1500197.7673424301</v>
      </c>
      <c r="D15" s="257">
        <f t="shared" si="0"/>
        <v>23.918926197789975</v>
      </c>
      <c r="E15" s="258">
        <f>SUM(E3:E14)</f>
        <v>0.99999984491542471</v>
      </c>
      <c r="F15" s="256">
        <f>SUM(F3:F14)</f>
        <v>1500197.7673424301</v>
      </c>
      <c r="G15" s="259">
        <f t="shared" si="2"/>
        <v>23.918926197789975</v>
      </c>
      <c r="H15" s="260">
        <f>SUM(H3:H14)</f>
        <v>0.9999998449154246</v>
      </c>
      <c r="I15" s="261">
        <f>SUM(I3:I14)</f>
        <v>1500197.7673424301</v>
      </c>
      <c r="J15" s="262">
        <f t="shared" si="4"/>
        <v>23.918926197789975</v>
      </c>
      <c r="K15" s="263">
        <f>SUM(K3:K14)</f>
        <v>0.9999998449154246</v>
      </c>
      <c r="L15" s="256">
        <v>1500197.7673424303</v>
      </c>
      <c r="M15" s="259">
        <f t="shared" si="6"/>
        <v>23.918926197789979</v>
      </c>
      <c r="N15" s="264">
        <f>SUM(N3:N14)</f>
        <v>0.99999984491542482</v>
      </c>
      <c r="O15" s="261">
        <f>SUM(O3:O14)</f>
        <v>1500197.7673424305</v>
      </c>
      <c r="P15" s="262">
        <f t="shared" si="8"/>
        <v>23.918926197789983</v>
      </c>
      <c r="Q15" s="265">
        <f t="shared" si="9"/>
        <v>0.99999984491542482</v>
      </c>
      <c r="R15" s="266">
        <f>SUM(R3:R14)</f>
        <v>1500198</v>
      </c>
      <c r="S15" s="267">
        <f t="shared" si="10"/>
        <v>23.918929907247065</v>
      </c>
      <c r="T15" s="265">
        <f t="shared" si="11"/>
        <v>1</v>
      </c>
      <c r="U15" s="268">
        <f>SUM(U3:U14)</f>
        <v>1500198</v>
      </c>
      <c r="V15" s="267">
        <f t="shared" si="12"/>
        <v>23.918929907247065</v>
      </c>
      <c r="W15" s="265">
        <f t="shared" si="13"/>
        <v>1</v>
      </c>
      <c r="X15" s="268">
        <f>SUM(X3:X14)</f>
        <v>1500199</v>
      </c>
      <c r="Y15" s="267">
        <f t="shared" si="14"/>
        <v>23.918945851095746</v>
      </c>
      <c r="Z15" s="269">
        <f t="shared" si="15"/>
        <v>1.0000006665786783</v>
      </c>
      <c r="AA15" s="204">
        <f>SUM(AA3:AA14)</f>
        <v>1500197.4042419754</v>
      </c>
      <c r="AB15" s="205">
        <f t="shared" si="16"/>
        <v>23.918920408571267</v>
      </c>
      <c r="AC15" s="222">
        <f t="shared" si="17"/>
        <v>0.99999960288040335</v>
      </c>
      <c r="AD15" s="204">
        <f>SUM(AD3:AD14)</f>
        <v>1500196.8710349067</v>
      </c>
      <c r="AE15" s="205">
        <f t="shared" si="18"/>
        <v>23.918911907198446</v>
      </c>
      <c r="AF15" s="222">
        <f t="shared" si="19"/>
        <v>0.99999924745594027</v>
      </c>
      <c r="AG15" s="197">
        <f>SUM(AG3:AG14)</f>
        <v>1500198.2042946464</v>
      </c>
      <c r="AH15" s="203">
        <f t="shared" si="20"/>
        <v>23.918933164489992</v>
      </c>
      <c r="AI15" s="270">
        <f t="shared" si="21"/>
        <v>1.0000001361784554</v>
      </c>
      <c r="AJ15" s="197">
        <f>SUM(AJ3:AJ14)</f>
        <v>1500197.7673424303</v>
      </c>
      <c r="AK15" s="203">
        <f t="shared" si="22"/>
        <v>23.918926197789979</v>
      </c>
      <c r="AL15" s="271">
        <f t="shared" si="23"/>
        <v>0.99999984491542471</v>
      </c>
    </row>
    <row r="17" spans="4:37" x14ac:dyDescent="0.2">
      <c r="D17" s="14">
        <v>38.130000000000003</v>
      </c>
      <c r="G17" s="14">
        <v>37.26</v>
      </c>
      <c r="J17" s="14">
        <v>37.96</v>
      </c>
      <c r="M17" s="14">
        <v>38.04</v>
      </c>
      <c r="P17" s="14">
        <v>39.08</v>
      </c>
      <c r="S17" s="14">
        <v>38.049999999999997</v>
      </c>
      <c r="V17" s="14">
        <v>38.08</v>
      </c>
      <c r="Y17" s="14">
        <v>42.7</v>
      </c>
      <c r="AB17" s="14">
        <v>46.83</v>
      </c>
      <c r="AE17" s="14">
        <v>42.21</v>
      </c>
      <c r="AH17" s="14">
        <v>44.15</v>
      </c>
      <c r="AK17" s="14">
        <v>41.38</v>
      </c>
    </row>
  </sheetData>
  <pageMargins left="0.7" right="0.7" top="0.75" bottom="0.75" header="0.3" footer="0.3"/>
  <pageSetup scale="6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F5D35-FA89-428F-A6E3-C5DFCE684067}">
  <dimension ref="A1:M46"/>
  <sheetViews>
    <sheetView topLeftCell="A13" workbookViewId="0">
      <selection activeCell="B12" sqref="B12"/>
    </sheetView>
  </sheetViews>
  <sheetFormatPr defaultRowHeight="15" x14ac:dyDescent="0.2"/>
  <cols>
    <col min="1" max="1" width="33" style="15" customWidth="1"/>
    <col min="2" max="2" width="36.28515625" style="15" customWidth="1"/>
    <col min="3" max="3" width="15.28515625" style="96" customWidth="1"/>
    <col min="4" max="4" width="9.140625" style="15"/>
    <col min="5" max="5" width="41.42578125" style="14" customWidth="1"/>
    <col min="6" max="6" width="20.85546875" style="77" customWidth="1"/>
    <col min="7" max="11" width="9.140625" style="15"/>
    <col min="12" max="12" width="25.28515625" style="15" customWidth="1"/>
    <col min="13" max="13" width="37" style="15" customWidth="1"/>
    <col min="14" max="16384" width="9.140625" style="15"/>
  </cols>
  <sheetData>
    <row r="1" spans="1:6" s="189" customFormat="1" ht="31.5" customHeight="1" x14ac:dyDescent="0.3">
      <c r="A1" s="281" t="s">
        <v>100</v>
      </c>
      <c r="B1" s="281"/>
      <c r="C1" s="281"/>
      <c r="E1" s="210"/>
      <c r="F1" s="211"/>
    </row>
    <row r="3" spans="1:6" ht="15.75" x14ac:dyDescent="0.25">
      <c r="A3" s="189" t="s">
        <v>101</v>
      </c>
    </row>
    <row r="4" spans="1:6" ht="15.75" x14ac:dyDescent="0.25">
      <c r="A4" s="191" t="s">
        <v>114</v>
      </c>
      <c r="B4" s="19" t="s">
        <v>102</v>
      </c>
      <c r="C4" s="212"/>
      <c r="E4" s="30" t="s">
        <v>142</v>
      </c>
      <c r="F4" s="213"/>
    </row>
    <row r="5" spans="1:6" ht="15.75" x14ac:dyDescent="0.25">
      <c r="B5" s="19" t="s">
        <v>103</v>
      </c>
      <c r="C5" s="212">
        <v>13396</v>
      </c>
      <c r="E5" s="30" t="s">
        <v>103</v>
      </c>
      <c r="F5" s="213">
        <v>13069</v>
      </c>
    </row>
    <row r="6" spans="1:6" ht="15.75" x14ac:dyDescent="0.25">
      <c r="B6" s="19" t="s">
        <v>104</v>
      </c>
      <c r="C6" s="212">
        <v>10691</v>
      </c>
      <c r="E6" s="30" t="s">
        <v>104</v>
      </c>
      <c r="F6" s="213">
        <v>10430</v>
      </c>
    </row>
    <row r="7" spans="1:6" ht="15.75" x14ac:dyDescent="0.25">
      <c r="B7" s="19" t="s">
        <v>105</v>
      </c>
      <c r="C7" s="212">
        <v>10691</v>
      </c>
      <c r="E7" s="30" t="s">
        <v>105</v>
      </c>
      <c r="F7" s="213">
        <v>10430</v>
      </c>
    </row>
    <row r="8" spans="1:6" ht="15.75" x14ac:dyDescent="0.25">
      <c r="B8" s="19" t="s">
        <v>106</v>
      </c>
      <c r="C8" s="212">
        <v>1812</v>
      </c>
      <c r="E8" s="30" t="s">
        <v>106</v>
      </c>
      <c r="F8" s="213">
        <v>1767</v>
      </c>
    </row>
    <row r="9" spans="1:6" ht="15.75" x14ac:dyDescent="0.25">
      <c r="B9" s="19" t="s">
        <v>107</v>
      </c>
      <c r="C9" s="212">
        <v>1812</v>
      </c>
      <c r="E9" s="30" t="s">
        <v>107</v>
      </c>
      <c r="F9" s="213">
        <v>1767</v>
      </c>
    </row>
    <row r="10" spans="1:6" ht="15.75" x14ac:dyDescent="0.25">
      <c r="B10" s="19" t="s">
        <v>108</v>
      </c>
      <c r="C10" s="212">
        <v>1608</v>
      </c>
      <c r="E10" s="30" t="s">
        <v>108</v>
      </c>
      <c r="F10" s="213">
        <v>1568</v>
      </c>
    </row>
    <row r="11" spans="1:6" ht="15.75" x14ac:dyDescent="0.25">
      <c r="B11" s="19" t="s">
        <v>109</v>
      </c>
      <c r="C11" s="212">
        <v>1608</v>
      </c>
      <c r="E11" s="30" t="s">
        <v>109</v>
      </c>
      <c r="F11" s="213">
        <v>1568</v>
      </c>
    </row>
    <row r="12" spans="1:6" ht="15.75" x14ac:dyDescent="0.25">
      <c r="B12" s="19" t="s">
        <v>110</v>
      </c>
      <c r="C12" s="212">
        <v>1608</v>
      </c>
      <c r="E12" s="30" t="s">
        <v>110</v>
      </c>
      <c r="F12" s="213">
        <v>1568</v>
      </c>
    </row>
    <row r="13" spans="1:6" ht="15.75" x14ac:dyDescent="0.25">
      <c r="B13" s="19" t="s">
        <v>111</v>
      </c>
      <c r="C13" s="212">
        <v>1340</v>
      </c>
      <c r="E13" s="30" t="s">
        <v>111</v>
      </c>
      <c r="F13" s="213">
        <v>1307</v>
      </c>
    </row>
    <row r="14" spans="1:6" ht="15.75" x14ac:dyDescent="0.25">
      <c r="B14" s="19" t="s">
        <v>112</v>
      </c>
      <c r="C14" s="212">
        <v>1340</v>
      </c>
      <c r="E14" s="30" t="s">
        <v>112</v>
      </c>
      <c r="F14" s="213">
        <v>1307</v>
      </c>
    </row>
    <row r="15" spans="1:6" ht="15.75" x14ac:dyDescent="0.25">
      <c r="B15" s="19" t="s">
        <v>113</v>
      </c>
      <c r="C15" s="212">
        <v>1340</v>
      </c>
      <c r="E15" s="30" t="s">
        <v>113</v>
      </c>
      <c r="F15" s="213">
        <v>1307</v>
      </c>
    </row>
    <row r="16" spans="1:6" ht="15.75" x14ac:dyDescent="0.25">
      <c r="B16" s="19" t="s">
        <v>20</v>
      </c>
      <c r="C16" s="212">
        <v>3958.52</v>
      </c>
      <c r="E16" s="14" t="s">
        <v>20</v>
      </c>
      <c r="F16" s="77">
        <v>3925.93</v>
      </c>
    </row>
    <row r="17" spans="1:13" ht="15.75" x14ac:dyDescent="0.25">
      <c r="B17" s="214" t="s">
        <v>19</v>
      </c>
      <c r="C17" s="212">
        <f>SUM(C5:C16)</f>
        <v>51204.52</v>
      </c>
      <c r="E17" s="215" t="s">
        <v>19</v>
      </c>
      <c r="F17" s="77">
        <f>SUM(F5:F16)</f>
        <v>50013.93</v>
      </c>
    </row>
    <row r="18" spans="1:13" x14ac:dyDescent="0.2">
      <c r="L18" s="191"/>
      <c r="M18" s="191"/>
    </row>
    <row r="19" spans="1:13" ht="15.75" x14ac:dyDescent="0.25">
      <c r="A19" s="189" t="s">
        <v>115</v>
      </c>
      <c r="M19" s="191"/>
    </row>
    <row r="20" spans="1:13" ht="30" x14ac:dyDescent="0.2">
      <c r="A20" s="191" t="s">
        <v>123</v>
      </c>
      <c r="B20" s="15" t="s">
        <v>116</v>
      </c>
      <c r="C20" s="96">
        <v>14136</v>
      </c>
      <c r="E20" s="15" t="s">
        <v>143</v>
      </c>
      <c r="F20" s="77">
        <v>11940</v>
      </c>
      <c r="M20" s="191"/>
    </row>
    <row r="21" spans="1:13" x14ac:dyDescent="0.2">
      <c r="B21" s="15" t="s">
        <v>117</v>
      </c>
      <c r="C21" s="96">
        <v>15840</v>
      </c>
      <c r="E21" s="14" t="s">
        <v>144</v>
      </c>
      <c r="F21" s="77">
        <v>11436</v>
      </c>
      <c r="M21" s="191"/>
    </row>
    <row r="22" spans="1:13" ht="30" x14ac:dyDescent="0.2">
      <c r="B22" s="190" t="s">
        <v>120</v>
      </c>
      <c r="E22" s="14" t="s">
        <v>145</v>
      </c>
      <c r="F22" s="77">
        <v>-2594.83</v>
      </c>
      <c r="M22" s="191"/>
    </row>
    <row r="23" spans="1:13" x14ac:dyDescent="0.2">
      <c r="M23" s="191"/>
    </row>
    <row r="24" spans="1:13" ht="15.75" x14ac:dyDescent="0.25">
      <c r="A24" s="189" t="s">
        <v>118</v>
      </c>
      <c r="M24" s="191"/>
    </row>
    <row r="25" spans="1:13" x14ac:dyDescent="0.2">
      <c r="A25" s="191" t="s">
        <v>119</v>
      </c>
      <c r="B25" s="15" t="s">
        <v>146</v>
      </c>
      <c r="C25" s="96">
        <v>11090</v>
      </c>
      <c r="E25" s="15" t="s">
        <v>141</v>
      </c>
      <c r="F25" s="96">
        <v>11090</v>
      </c>
      <c r="M25" s="191"/>
    </row>
    <row r="26" spans="1:13" x14ac:dyDescent="0.2">
      <c r="M26" s="191"/>
    </row>
    <row r="27" spans="1:13" x14ac:dyDescent="0.2">
      <c r="M27" s="191"/>
    </row>
    <row r="28" spans="1:13" x14ac:dyDescent="0.2">
      <c r="A28" s="15" t="s">
        <v>122</v>
      </c>
      <c r="M28" s="191"/>
    </row>
    <row r="29" spans="1:13" x14ac:dyDescent="0.2">
      <c r="E29" s="15" t="s">
        <v>124</v>
      </c>
      <c r="F29" s="96">
        <v>468</v>
      </c>
    </row>
    <row r="32" spans="1:13" ht="15.75" x14ac:dyDescent="0.25">
      <c r="A32" s="189" t="s">
        <v>121</v>
      </c>
    </row>
    <row r="33" spans="1:6" x14ac:dyDescent="0.2">
      <c r="E33" s="15" t="s">
        <v>125</v>
      </c>
      <c r="F33" s="96">
        <v>4590</v>
      </c>
    </row>
    <row r="35" spans="1:6" ht="75" x14ac:dyDescent="0.2">
      <c r="A35" s="216" t="s">
        <v>126</v>
      </c>
      <c r="B35" s="15" t="s">
        <v>136</v>
      </c>
    </row>
    <row r="36" spans="1:6" ht="30" x14ac:dyDescent="0.2">
      <c r="A36" s="191" t="s">
        <v>140</v>
      </c>
    </row>
    <row r="37" spans="1:6" x14ac:dyDescent="0.2">
      <c r="A37" s="191" t="s">
        <v>139</v>
      </c>
    </row>
    <row r="38" spans="1:6" x14ac:dyDescent="0.2">
      <c r="A38" s="191" t="s">
        <v>127</v>
      </c>
    </row>
    <row r="39" spans="1:6" x14ac:dyDescent="0.2">
      <c r="A39" s="191" t="s">
        <v>128</v>
      </c>
    </row>
    <row r="40" spans="1:6" x14ac:dyDescent="0.2">
      <c r="A40" s="191" t="s">
        <v>129</v>
      </c>
    </row>
    <row r="41" spans="1:6" x14ac:dyDescent="0.2">
      <c r="A41" s="191" t="s">
        <v>130</v>
      </c>
    </row>
    <row r="42" spans="1:6" ht="30" x14ac:dyDescent="0.2">
      <c r="A42" s="191" t="s">
        <v>131</v>
      </c>
    </row>
    <row r="43" spans="1:6" ht="30" x14ac:dyDescent="0.2">
      <c r="A43" s="191" t="s">
        <v>132</v>
      </c>
    </row>
    <row r="44" spans="1:6" x14ac:dyDescent="0.2">
      <c r="A44" s="191" t="s">
        <v>133</v>
      </c>
    </row>
    <row r="45" spans="1:6" x14ac:dyDescent="0.2">
      <c r="A45" s="191" t="s">
        <v>137</v>
      </c>
    </row>
    <row r="46" spans="1:6" x14ac:dyDescent="0.2">
      <c r="A46" s="191" t="s">
        <v>138</v>
      </c>
    </row>
  </sheetData>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27145-BE30-4A12-B508-92984DC5A4C4}">
  <dimension ref="A1:AK21"/>
  <sheetViews>
    <sheetView workbookViewId="0">
      <selection activeCell="E20" sqref="E20"/>
    </sheetView>
  </sheetViews>
  <sheetFormatPr defaultColWidth="13.7109375" defaultRowHeight="15" x14ac:dyDescent="0.2"/>
  <cols>
    <col min="1" max="1" width="22.85546875" style="14" customWidth="1"/>
    <col min="2" max="2" width="14.7109375" style="14" customWidth="1"/>
    <col min="3" max="3" width="13.85546875" style="14" bestFit="1" customWidth="1"/>
    <col min="4" max="4" width="15.140625" style="14" customWidth="1"/>
    <col min="5" max="5" width="13.85546875" style="14" bestFit="1" customWidth="1"/>
    <col min="6" max="6" width="12.42578125" style="14" customWidth="1"/>
    <col min="7" max="7" width="13" style="14" customWidth="1"/>
    <col min="8" max="8" width="15" style="14" customWidth="1"/>
    <col min="9" max="9" width="11.28515625" style="14" customWidth="1"/>
    <col min="10" max="10" width="12.140625" style="14" customWidth="1"/>
    <col min="11" max="11" width="20" style="14" customWidth="1"/>
    <col min="12" max="12" width="17.85546875" style="14" customWidth="1"/>
    <col min="13" max="13" width="19.5703125" style="15" customWidth="1"/>
    <col min="14" max="14" width="16.42578125" style="96" customWidth="1"/>
    <col min="15" max="15" width="10.7109375" style="14" customWidth="1"/>
    <col min="16" max="16" width="18.140625" style="14" customWidth="1"/>
    <col min="17" max="17" width="13.7109375" style="14"/>
    <col min="18" max="18" width="13.7109375" style="77"/>
    <col min="19" max="16384" width="13.7109375" style="14"/>
  </cols>
  <sheetData>
    <row r="1" spans="1:35" s="112" customFormat="1" ht="47.25" x14ac:dyDescent="0.25">
      <c r="A1" s="107"/>
      <c r="B1" s="108"/>
      <c r="C1" s="109" t="s">
        <v>58</v>
      </c>
      <c r="D1" s="110" t="s">
        <v>59</v>
      </c>
      <c r="E1" s="278" t="s">
        <v>25</v>
      </c>
      <c r="F1" s="279"/>
      <c r="G1" s="279"/>
      <c r="H1" s="280"/>
      <c r="I1" s="108"/>
      <c r="J1" s="109" t="s">
        <v>54</v>
      </c>
      <c r="K1" s="109" t="s">
        <v>55</v>
      </c>
      <c r="L1" s="111" t="s">
        <v>56</v>
      </c>
      <c r="M1" s="278" t="s">
        <v>41</v>
      </c>
      <c r="N1" s="280"/>
      <c r="P1" s="113"/>
    </row>
    <row r="2" spans="1:35" s="119" customFormat="1" ht="63" x14ac:dyDescent="0.25">
      <c r="A2" s="78"/>
      <c r="B2" s="78" t="s">
        <v>160</v>
      </c>
      <c r="C2" s="118"/>
      <c r="E2" s="110" t="s">
        <v>27</v>
      </c>
      <c r="F2" s="110" t="s">
        <v>28</v>
      </c>
      <c r="G2" s="110" t="s">
        <v>29</v>
      </c>
      <c r="H2" s="110" t="s">
        <v>30</v>
      </c>
      <c r="I2" s="110" t="s">
        <v>31</v>
      </c>
      <c r="J2" s="110" t="s">
        <v>19</v>
      </c>
      <c r="K2" s="110"/>
      <c r="L2" s="111"/>
      <c r="M2" s="110" t="s">
        <v>44</v>
      </c>
      <c r="N2" s="120" t="s">
        <v>43</v>
      </c>
      <c r="O2" s="122"/>
      <c r="P2" s="123"/>
      <c r="Q2" s="122"/>
      <c r="R2" s="122"/>
      <c r="S2" s="122"/>
      <c r="T2" s="122"/>
      <c r="U2" s="122"/>
      <c r="V2" s="122"/>
      <c r="W2" s="122"/>
      <c r="X2" s="122"/>
      <c r="Y2" s="122"/>
      <c r="Z2" s="122"/>
      <c r="AA2" s="122"/>
      <c r="AB2" s="122"/>
      <c r="AC2" s="122"/>
      <c r="AD2" s="122"/>
      <c r="AE2" s="122"/>
      <c r="AF2" s="122"/>
      <c r="AG2" s="122"/>
      <c r="AH2" s="122"/>
      <c r="AI2" s="122"/>
    </row>
    <row r="3" spans="1:35" x14ac:dyDescent="0.2">
      <c r="A3" s="5" t="s">
        <v>3</v>
      </c>
      <c r="B3" s="84"/>
      <c r="C3" s="6">
        <v>859.45762711864404</v>
      </c>
      <c r="D3" s="79">
        <v>1</v>
      </c>
      <c r="E3" s="79">
        <v>0.5</v>
      </c>
      <c r="F3" s="80">
        <v>38480</v>
      </c>
      <c r="G3" s="80">
        <f>(E3)*(F3)</f>
        <v>19240</v>
      </c>
      <c r="H3" s="80">
        <v>2000</v>
      </c>
      <c r="I3" s="80">
        <f>SUM(G3+H3)*0.1</f>
        <v>2124</v>
      </c>
      <c r="J3" s="80">
        <f>SUM(G3+H3+I3)</f>
        <v>23364</v>
      </c>
      <c r="K3" s="80">
        <f>($K$15*N3)</f>
        <v>8169.3960708769082</v>
      </c>
      <c r="L3" s="97">
        <f>SUM(J3:K3)</f>
        <v>31533.396070876908</v>
      </c>
      <c r="M3" s="6">
        <v>859.45762711864404</v>
      </c>
      <c r="N3" s="85">
        <f>(M3/$M$15)</f>
        <v>1.3703062356635412E-2</v>
      </c>
      <c r="O3" s="82"/>
      <c r="P3" s="83"/>
      <c r="Q3" s="82"/>
      <c r="R3" s="82"/>
      <c r="S3" s="82"/>
      <c r="T3" s="82"/>
      <c r="U3" s="82"/>
      <c r="V3" s="82"/>
      <c r="W3" s="82"/>
      <c r="X3" s="82"/>
      <c r="Y3" s="82"/>
      <c r="Z3" s="82"/>
      <c r="AA3" s="82"/>
      <c r="AB3" s="82"/>
      <c r="AC3" s="82"/>
      <c r="AD3" s="82"/>
      <c r="AE3" s="82"/>
      <c r="AF3" s="82"/>
      <c r="AG3" s="82"/>
      <c r="AH3" s="82"/>
      <c r="AI3" s="82"/>
    </row>
    <row r="4" spans="1:35" x14ac:dyDescent="0.2">
      <c r="A4" s="5" t="s">
        <v>4</v>
      </c>
      <c r="B4" s="84"/>
      <c r="C4" s="6">
        <v>1377.1785310734463</v>
      </c>
      <c r="D4" s="79">
        <v>2</v>
      </c>
      <c r="E4" s="79">
        <v>0.8</v>
      </c>
      <c r="F4" s="80">
        <v>38480</v>
      </c>
      <c r="G4" s="80">
        <f t="shared" ref="G4:G14" si="0">(E4)*(F4)</f>
        <v>30784</v>
      </c>
      <c r="H4" s="80">
        <v>2500</v>
      </c>
      <c r="I4" s="80">
        <f t="shared" ref="I4:I14" si="1">SUM(G4+H4)*0.1</f>
        <v>3328.4</v>
      </c>
      <c r="J4" s="80">
        <f t="shared" ref="J4:J14" si="2">SUM(G4+H4+I4)</f>
        <v>36612.400000000001</v>
      </c>
      <c r="K4" s="80">
        <f>($K$15*N4)</f>
        <v>13090.484656428949</v>
      </c>
      <c r="L4" s="97">
        <f t="shared" ref="L4:L14" si="3">SUM(J4:K4)</f>
        <v>49702.884656428949</v>
      </c>
      <c r="M4" s="6">
        <v>1377.1785310734463</v>
      </c>
      <c r="N4" s="85">
        <f t="shared" ref="N4:N14" si="4">(M4/$M$15)</f>
        <v>2.1957526109561028E-2</v>
      </c>
      <c r="O4" s="82"/>
      <c r="P4" s="83"/>
      <c r="Q4" s="82"/>
      <c r="R4" s="82"/>
      <c r="S4" s="86"/>
      <c r="T4" s="82"/>
      <c r="U4" s="82"/>
      <c r="V4" s="86"/>
      <c r="W4" s="82"/>
      <c r="X4" s="82"/>
      <c r="Y4" s="86"/>
      <c r="Z4" s="82"/>
      <c r="AA4" s="82"/>
      <c r="AB4" s="86"/>
      <c r="AC4" s="82"/>
      <c r="AD4" s="82"/>
      <c r="AE4" s="86"/>
      <c r="AF4" s="82"/>
      <c r="AG4" s="82"/>
      <c r="AH4" s="86"/>
      <c r="AI4" s="82"/>
    </row>
    <row r="5" spans="1:35" x14ac:dyDescent="0.2">
      <c r="A5" s="5" t="s">
        <v>5</v>
      </c>
      <c r="B5" s="84"/>
      <c r="C5" s="6">
        <v>1098.8779661016949</v>
      </c>
      <c r="D5" s="87">
        <v>2</v>
      </c>
      <c r="E5" s="79">
        <v>0.8</v>
      </c>
      <c r="F5" s="80">
        <v>38480</v>
      </c>
      <c r="G5" s="80">
        <f t="shared" si="0"/>
        <v>30784</v>
      </c>
      <c r="H5" s="80">
        <v>2500</v>
      </c>
      <c r="I5" s="80">
        <f t="shared" si="1"/>
        <v>3328.4</v>
      </c>
      <c r="J5" s="80">
        <f t="shared" si="2"/>
        <v>36612.400000000001</v>
      </c>
      <c r="K5" s="80">
        <f t="shared" ref="K5:K14" si="5">($K$15*N5)</f>
        <v>10445.156404906906</v>
      </c>
      <c r="L5" s="97">
        <f t="shared" si="3"/>
        <v>47057.556404906907</v>
      </c>
      <c r="M5" s="6">
        <v>1098.8779661016949</v>
      </c>
      <c r="N5" s="85">
        <f t="shared" si="4"/>
        <v>1.7520344013126708E-2</v>
      </c>
      <c r="O5" s="88"/>
      <c r="P5" s="83"/>
      <c r="Q5" s="88"/>
      <c r="R5" s="88"/>
      <c r="S5" s="86"/>
      <c r="T5" s="88"/>
      <c r="U5" s="88"/>
      <c r="V5" s="86"/>
      <c r="W5" s="88"/>
      <c r="X5" s="88"/>
      <c r="Y5" s="86"/>
      <c r="Z5" s="88"/>
      <c r="AA5" s="88"/>
      <c r="AB5" s="86"/>
      <c r="AC5" s="88"/>
      <c r="AD5" s="88"/>
      <c r="AE5" s="86"/>
      <c r="AF5" s="88"/>
      <c r="AG5" s="88"/>
      <c r="AH5" s="86"/>
      <c r="AI5" s="82"/>
    </row>
    <row r="6" spans="1:35" x14ac:dyDescent="0.2">
      <c r="A6" s="5" t="s">
        <v>6</v>
      </c>
      <c r="B6" s="84"/>
      <c r="C6" s="6">
        <v>385.73276836158192</v>
      </c>
      <c r="D6" s="79">
        <v>1</v>
      </c>
      <c r="E6" s="79">
        <v>0.5</v>
      </c>
      <c r="F6" s="80">
        <v>38480</v>
      </c>
      <c r="G6" s="80">
        <f t="shared" si="0"/>
        <v>19240</v>
      </c>
      <c r="H6" s="80">
        <v>2000</v>
      </c>
      <c r="I6" s="80">
        <f t="shared" si="1"/>
        <v>2124</v>
      </c>
      <c r="J6" s="80">
        <f t="shared" si="2"/>
        <v>23364</v>
      </c>
      <c r="K6" s="80">
        <f t="shared" si="5"/>
        <v>3666.5027603816602</v>
      </c>
      <c r="L6" s="97">
        <f t="shared" si="3"/>
        <v>27030.50276038166</v>
      </c>
      <c r="M6" s="6">
        <v>385.73276836158192</v>
      </c>
      <c r="N6" s="85">
        <f t="shared" si="4"/>
        <v>6.1500648910137509E-3</v>
      </c>
      <c r="O6" s="82"/>
      <c r="P6" s="83"/>
      <c r="Q6" s="82"/>
      <c r="R6" s="82"/>
      <c r="S6" s="86"/>
      <c r="T6" s="82"/>
      <c r="U6" s="88"/>
      <c r="V6" s="86"/>
      <c r="W6" s="82"/>
      <c r="X6" s="88"/>
      <c r="Y6" s="86"/>
      <c r="Z6" s="82"/>
      <c r="AA6" s="88"/>
      <c r="AB6" s="86"/>
      <c r="AC6" s="82"/>
      <c r="AD6" s="88"/>
      <c r="AE6" s="86"/>
      <c r="AF6" s="82"/>
      <c r="AG6" s="88"/>
      <c r="AH6" s="86"/>
      <c r="AI6" s="82"/>
    </row>
    <row r="7" spans="1:35" x14ac:dyDescent="0.2">
      <c r="A7" s="5" t="s">
        <v>32</v>
      </c>
      <c r="B7" s="84"/>
      <c r="C7" s="89">
        <v>9136</v>
      </c>
      <c r="D7" s="79">
        <v>3</v>
      </c>
      <c r="E7" s="273">
        <f>((C7/3000)*0.8)</f>
        <v>2.4362666666666666</v>
      </c>
      <c r="F7" s="80">
        <v>38480</v>
      </c>
      <c r="G7" s="274">
        <f t="shared" si="0"/>
        <v>93747.541333333327</v>
      </c>
      <c r="H7" s="80">
        <f>((C7/2000)*2000)</f>
        <v>9136</v>
      </c>
      <c r="I7" s="80">
        <f t="shared" si="1"/>
        <v>10288.354133333334</v>
      </c>
      <c r="J7" s="80">
        <f t="shared" si="2"/>
        <v>113171.89546666667</v>
      </c>
      <c r="K7" s="80">
        <f t="shared" si="5"/>
        <v>86840.351575853027</v>
      </c>
      <c r="L7" s="97">
        <f t="shared" si="3"/>
        <v>200012.24704251968</v>
      </c>
      <c r="M7" s="89">
        <v>9136</v>
      </c>
      <c r="N7" s="85">
        <f t="shared" si="4"/>
        <v>0.14566300157219861</v>
      </c>
      <c r="O7" s="82"/>
      <c r="P7" s="83"/>
      <c r="Q7" s="82"/>
      <c r="R7" s="82"/>
      <c r="S7" s="86"/>
      <c r="T7" s="82"/>
      <c r="U7" s="82"/>
      <c r="V7" s="86"/>
      <c r="W7" s="82"/>
      <c r="X7" s="82"/>
      <c r="Y7" s="86"/>
      <c r="Z7" s="82"/>
      <c r="AA7" s="82"/>
      <c r="AB7" s="86"/>
      <c r="AC7" s="82"/>
      <c r="AD7" s="82"/>
      <c r="AE7" s="86"/>
      <c r="AF7" s="82"/>
      <c r="AG7" s="82"/>
      <c r="AH7" s="86"/>
      <c r="AI7" s="82"/>
    </row>
    <row r="8" spans="1:35" x14ac:dyDescent="0.2">
      <c r="A8" s="5" t="s">
        <v>8</v>
      </c>
      <c r="B8" s="84"/>
      <c r="C8" s="6">
        <v>12099.93559322034</v>
      </c>
      <c r="D8" s="87">
        <v>3</v>
      </c>
      <c r="E8" s="273">
        <f t="shared" ref="E8:E9" si="6">((C8/3000)*0.8)</f>
        <v>3.2266494915254245</v>
      </c>
      <c r="F8" s="80">
        <v>38480</v>
      </c>
      <c r="G8" s="274">
        <f t="shared" si="0"/>
        <v>124161.47243389834</v>
      </c>
      <c r="H8" s="80">
        <f t="shared" ref="H8:H9" si="7">((C8/2000)*2000)</f>
        <v>12099.93559322034</v>
      </c>
      <c r="I8" s="80">
        <f t="shared" si="1"/>
        <v>13626.140802711869</v>
      </c>
      <c r="J8" s="80">
        <f t="shared" si="2"/>
        <v>149887.54882983054</v>
      </c>
      <c r="K8" s="80">
        <f t="shared" si="5"/>
        <v>115013.42611213135</v>
      </c>
      <c r="L8" s="97">
        <f t="shared" si="3"/>
        <v>264900.97494196187</v>
      </c>
      <c r="M8" s="6">
        <v>12099.93559322034</v>
      </c>
      <c r="N8" s="85">
        <f t="shared" si="4"/>
        <v>0.19291954217806001</v>
      </c>
      <c r="O8" s="88"/>
      <c r="P8" s="83"/>
      <c r="Q8" s="88"/>
      <c r="R8" s="88"/>
      <c r="S8" s="86"/>
      <c r="T8" s="88"/>
      <c r="U8" s="88"/>
      <c r="V8" s="86"/>
      <c r="W8" s="88"/>
      <c r="X8" s="88"/>
      <c r="Y8" s="86"/>
      <c r="Z8" s="88"/>
      <c r="AA8" s="88"/>
      <c r="AB8" s="86"/>
      <c r="AC8" s="88"/>
      <c r="AD8" s="88"/>
      <c r="AE8" s="86"/>
      <c r="AF8" s="88"/>
      <c r="AG8" s="88"/>
      <c r="AH8" s="86"/>
      <c r="AI8" s="82"/>
    </row>
    <row r="9" spans="1:35" x14ac:dyDescent="0.2">
      <c r="A9" s="5" t="s">
        <v>9</v>
      </c>
      <c r="B9" s="84"/>
      <c r="C9" s="6">
        <v>22651.82429378531</v>
      </c>
      <c r="D9" s="87">
        <v>3</v>
      </c>
      <c r="E9" s="273">
        <f t="shared" si="6"/>
        <v>6.0404864783427499</v>
      </c>
      <c r="F9" s="80">
        <v>38480</v>
      </c>
      <c r="G9" s="274">
        <f t="shared" si="0"/>
        <v>232437.91968662903</v>
      </c>
      <c r="H9" s="80">
        <f t="shared" si="7"/>
        <v>22651.82429378531</v>
      </c>
      <c r="I9" s="80">
        <f t="shared" si="1"/>
        <v>25508.974398041435</v>
      </c>
      <c r="J9" s="80">
        <f t="shared" si="2"/>
        <v>280598.71837845579</v>
      </c>
      <c r="K9" s="80">
        <f t="shared" si="5"/>
        <v>215312.21382517126</v>
      </c>
      <c r="L9" s="97">
        <f t="shared" si="3"/>
        <v>495910.93220362708</v>
      </c>
      <c r="M9" s="6">
        <v>22651.82429378531</v>
      </c>
      <c r="N9" s="85">
        <f t="shared" si="4"/>
        <v>0.36115725894470402</v>
      </c>
      <c r="O9" s="88"/>
      <c r="P9" s="83"/>
      <c r="Q9" s="88"/>
      <c r="R9" s="88"/>
      <c r="S9" s="86"/>
      <c r="T9" s="88"/>
      <c r="U9" s="88"/>
      <c r="V9" s="86"/>
      <c r="W9" s="88"/>
      <c r="X9" s="88"/>
      <c r="Y9" s="86"/>
      <c r="Z9" s="88"/>
      <c r="AA9" s="88"/>
      <c r="AB9" s="86"/>
      <c r="AC9" s="88"/>
      <c r="AD9" s="88"/>
      <c r="AE9" s="86"/>
      <c r="AF9" s="88"/>
      <c r="AG9" s="88"/>
      <c r="AH9" s="86"/>
      <c r="AI9" s="82"/>
    </row>
    <row r="10" spans="1:35" x14ac:dyDescent="0.2">
      <c r="A10" s="5" t="s">
        <v>10</v>
      </c>
      <c r="B10" s="84"/>
      <c r="C10" s="6">
        <v>2040.1887005649717</v>
      </c>
      <c r="D10" s="87">
        <v>2</v>
      </c>
      <c r="E10" s="79">
        <v>0.8</v>
      </c>
      <c r="F10" s="80">
        <v>38480</v>
      </c>
      <c r="G10" s="80">
        <f t="shared" si="0"/>
        <v>30784</v>
      </c>
      <c r="H10" s="80">
        <v>2500</v>
      </c>
      <c r="I10" s="80">
        <f t="shared" si="1"/>
        <v>3328.4</v>
      </c>
      <c r="J10" s="80">
        <f t="shared" si="2"/>
        <v>36612.400000000001</v>
      </c>
      <c r="K10" s="80">
        <f t="shared" si="5"/>
        <v>19392.590196819707</v>
      </c>
      <c r="L10" s="97">
        <f t="shared" si="3"/>
        <v>56004.990196819708</v>
      </c>
      <c r="M10" s="6">
        <v>2040.1887005649717</v>
      </c>
      <c r="N10" s="85">
        <f t="shared" si="4"/>
        <v>3.2528459927536918E-2</v>
      </c>
      <c r="O10" s="88"/>
      <c r="P10" s="83"/>
      <c r="Q10" s="88"/>
      <c r="R10" s="88"/>
      <c r="S10" s="86"/>
      <c r="T10" s="88"/>
      <c r="U10" s="88"/>
      <c r="V10" s="86"/>
      <c r="W10" s="88"/>
      <c r="X10" s="88"/>
      <c r="Y10" s="86"/>
      <c r="Z10" s="88"/>
      <c r="AA10" s="88"/>
      <c r="AB10" s="86"/>
      <c r="AC10" s="88"/>
      <c r="AD10" s="88"/>
      <c r="AE10" s="86"/>
      <c r="AF10" s="88"/>
      <c r="AG10" s="88"/>
      <c r="AH10" s="86"/>
      <c r="AI10" s="82"/>
    </row>
    <row r="11" spans="1:35" x14ac:dyDescent="0.2">
      <c r="A11" s="5" t="s">
        <v>11</v>
      </c>
      <c r="B11" s="84"/>
      <c r="C11" s="6">
        <v>2912.9474576271186</v>
      </c>
      <c r="D11" s="87">
        <v>2</v>
      </c>
      <c r="E11" s="79">
        <v>0.8</v>
      </c>
      <c r="F11" s="80">
        <v>38480</v>
      </c>
      <c r="G11" s="80">
        <f t="shared" si="0"/>
        <v>30784</v>
      </c>
      <c r="H11" s="80">
        <v>2500</v>
      </c>
      <c r="I11" s="80">
        <f t="shared" si="1"/>
        <v>3328.4</v>
      </c>
      <c r="J11" s="80">
        <f t="shared" si="2"/>
        <v>36612.400000000001</v>
      </c>
      <c r="K11" s="80">
        <f t="shared" si="5"/>
        <v>27688.417397364952</v>
      </c>
      <c r="L11" s="97">
        <f t="shared" si="3"/>
        <v>64300.817397364954</v>
      </c>
      <c r="M11" s="6">
        <v>2912.9474576271186</v>
      </c>
      <c r="N11" s="85">
        <f t="shared" si="4"/>
        <v>4.6443593487310739E-2</v>
      </c>
      <c r="O11" s="88"/>
      <c r="P11" s="83"/>
      <c r="Q11" s="88"/>
      <c r="R11" s="88"/>
      <c r="S11" s="86"/>
      <c r="T11" s="88"/>
      <c r="U11" s="88"/>
      <c r="V11" s="86"/>
      <c r="W11" s="88"/>
      <c r="X11" s="88"/>
      <c r="Y11" s="86"/>
      <c r="Z11" s="88"/>
      <c r="AA11" s="88"/>
      <c r="AB11" s="86"/>
      <c r="AC11" s="88"/>
      <c r="AD11" s="88"/>
      <c r="AE11" s="86"/>
      <c r="AF11" s="88"/>
      <c r="AG11" s="88"/>
      <c r="AH11" s="86"/>
      <c r="AI11" s="82"/>
    </row>
    <row r="12" spans="1:35" x14ac:dyDescent="0.2">
      <c r="A12" s="5" t="s">
        <v>12</v>
      </c>
      <c r="B12" s="84"/>
      <c r="C12" s="6">
        <v>313.08813559322033</v>
      </c>
      <c r="D12" s="87">
        <v>1</v>
      </c>
      <c r="E12" s="79">
        <v>0.5</v>
      </c>
      <c r="F12" s="80">
        <v>38480</v>
      </c>
      <c r="G12" s="80">
        <f t="shared" si="0"/>
        <v>19240</v>
      </c>
      <c r="H12" s="80">
        <v>2000</v>
      </c>
      <c r="I12" s="80">
        <f t="shared" si="1"/>
        <v>2124</v>
      </c>
      <c r="J12" s="80">
        <f t="shared" si="2"/>
        <v>23364</v>
      </c>
      <c r="K12" s="80">
        <f t="shared" si="5"/>
        <v>2975.9942829623019</v>
      </c>
      <c r="L12" s="97">
        <f t="shared" si="3"/>
        <v>26339.994282962303</v>
      </c>
      <c r="M12" s="6">
        <v>313.08813559322033</v>
      </c>
      <c r="N12" s="85">
        <f t="shared" si="4"/>
        <v>4.9918298584886141E-3</v>
      </c>
      <c r="O12" s="88"/>
      <c r="P12" s="83"/>
      <c r="Q12" s="88"/>
      <c r="R12" s="88"/>
      <c r="S12" s="86"/>
      <c r="T12" s="88"/>
      <c r="U12" s="88"/>
      <c r="V12" s="86"/>
      <c r="W12" s="88"/>
      <c r="X12" s="88"/>
      <c r="Y12" s="86"/>
      <c r="Z12" s="88"/>
      <c r="AA12" s="88"/>
      <c r="AB12" s="86"/>
      <c r="AC12" s="88"/>
      <c r="AD12" s="88"/>
      <c r="AE12" s="86"/>
      <c r="AF12" s="88"/>
      <c r="AG12" s="88"/>
      <c r="AH12" s="86"/>
      <c r="AI12" s="82"/>
    </row>
    <row r="13" spans="1:35" x14ac:dyDescent="0.2">
      <c r="A13" s="5" t="s">
        <v>13</v>
      </c>
      <c r="B13" s="91"/>
      <c r="C13" s="6">
        <v>8654.9429378531077</v>
      </c>
      <c r="D13" s="79">
        <v>3</v>
      </c>
      <c r="E13" s="273">
        <f>((C13/3000)*0.8)</f>
        <v>2.3079847834274956</v>
      </c>
      <c r="F13" s="80">
        <v>38480</v>
      </c>
      <c r="G13" s="274">
        <f t="shared" si="0"/>
        <v>88811.254466290033</v>
      </c>
      <c r="H13" s="80">
        <f>((C13/2000)*2000)</f>
        <v>8654.9429378531077</v>
      </c>
      <c r="I13" s="80">
        <f t="shared" si="1"/>
        <v>9746.6197404143149</v>
      </c>
      <c r="J13" s="80">
        <f t="shared" si="2"/>
        <v>107212.81714455746</v>
      </c>
      <c r="K13" s="80">
        <f t="shared" si="5"/>
        <v>82267.763528033058</v>
      </c>
      <c r="L13" s="97">
        <f t="shared" si="3"/>
        <v>189480.58067259053</v>
      </c>
      <c r="M13" s="6">
        <v>8654.9429378531077</v>
      </c>
      <c r="N13" s="85">
        <f t="shared" si="4"/>
        <v>0.13799310056521305</v>
      </c>
      <c r="O13" s="82"/>
      <c r="P13" s="83"/>
      <c r="Q13" s="82"/>
      <c r="R13" s="82"/>
      <c r="S13" s="86"/>
      <c r="T13" s="82"/>
      <c r="U13" s="82"/>
      <c r="V13" s="86"/>
      <c r="W13" s="82"/>
      <c r="X13" s="82"/>
      <c r="Y13" s="86"/>
      <c r="Z13" s="82"/>
      <c r="AA13" s="82"/>
      <c r="AB13" s="86"/>
      <c r="AC13" s="82"/>
      <c r="AD13" s="82"/>
      <c r="AE13" s="86"/>
      <c r="AF13" s="82"/>
      <c r="AG13" s="82"/>
      <c r="AH13" s="86"/>
      <c r="AI13" s="82"/>
    </row>
    <row r="14" spans="1:35" x14ac:dyDescent="0.2">
      <c r="A14" s="5" t="s">
        <v>14</v>
      </c>
      <c r="B14" s="84"/>
      <c r="C14" s="6">
        <v>1189.939548022599</v>
      </c>
      <c r="D14" s="87">
        <v>2</v>
      </c>
      <c r="E14" s="79">
        <v>0.8</v>
      </c>
      <c r="F14" s="80">
        <v>38480</v>
      </c>
      <c r="G14" s="80">
        <f t="shared" si="0"/>
        <v>30784</v>
      </c>
      <c r="H14" s="80">
        <v>2500</v>
      </c>
      <c r="I14" s="80">
        <f t="shared" si="1"/>
        <v>3328.4</v>
      </c>
      <c r="J14" s="80">
        <f t="shared" si="2"/>
        <v>36612.400000000001</v>
      </c>
      <c r="K14" s="80">
        <f t="shared" si="5"/>
        <v>11310.72336955934</v>
      </c>
      <c r="L14" s="97">
        <f t="shared" si="3"/>
        <v>47923.12336955934</v>
      </c>
      <c r="M14" s="6">
        <v>1189.939548022599</v>
      </c>
      <c r="N14" s="85">
        <f t="shared" si="4"/>
        <v>1.8972216096151174E-2</v>
      </c>
      <c r="O14" s="88"/>
      <c r="P14" s="83"/>
      <c r="Q14" s="88"/>
      <c r="R14" s="88"/>
      <c r="S14" s="86"/>
      <c r="T14" s="88"/>
      <c r="U14" s="88"/>
      <c r="V14" s="86"/>
      <c r="W14" s="88"/>
      <c r="X14" s="88"/>
      <c r="Y14" s="86"/>
      <c r="Z14" s="88"/>
      <c r="AA14" s="88"/>
      <c r="AB14" s="86"/>
      <c r="AC14" s="88"/>
      <c r="AD14" s="88"/>
      <c r="AE14" s="86"/>
      <c r="AF14" s="88"/>
      <c r="AG14" s="88"/>
      <c r="AH14" s="86"/>
      <c r="AI14" s="82"/>
    </row>
    <row r="15" spans="1:35" ht="90" x14ac:dyDescent="0.2">
      <c r="A15" s="79"/>
      <c r="B15" s="92">
        <v>1500198</v>
      </c>
      <c r="C15" s="87">
        <f>SUM(C3:C14)</f>
        <v>62720.113559322032</v>
      </c>
      <c r="D15" s="79" t="s">
        <v>26</v>
      </c>
      <c r="E15" s="85" t="s">
        <v>33</v>
      </c>
      <c r="F15" s="79" t="s">
        <v>34</v>
      </c>
      <c r="G15" s="85"/>
      <c r="H15" s="79" t="s">
        <v>152</v>
      </c>
      <c r="I15" s="87" t="s">
        <v>36</v>
      </c>
      <c r="J15" s="93">
        <f>SUM(J3:J14)</f>
        <v>904024.9798195106</v>
      </c>
      <c r="K15" s="93">
        <f>(B15-J15)</f>
        <v>596173.0201804894</v>
      </c>
      <c r="L15" s="98">
        <f>SUM(J15:K15)</f>
        <v>1500198</v>
      </c>
      <c r="M15" s="87">
        <f>SUM(M3:M14)</f>
        <v>62720.113559322032</v>
      </c>
      <c r="N15" s="85">
        <v>0.99999999999999989</v>
      </c>
      <c r="O15" s="82"/>
      <c r="P15" s="83"/>
      <c r="Q15" s="82"/>
      <c r="R15" s="82"/>
      <c r="S15" s="86"/>
      <c r="T15" s="82"/>
      <c r="U15" s="82"/>
      <c r="V15" s="86"/>
      <c r="W15" s="82"/>
      <c r="X15" s="82"/>
      <c r="Y15" s="86"/>
      <c r="Z15" s="82"/>
      <c r="AA15" s="88"/>
      <c r="AB15" s="86"/>
      <c r="AC15" s="82"/>
      <c r="AD15" s="82"/>
      <c r="AE15" s="86"/>
      <c r="AF15" s="82"/>
      <c r="AG15" s="82"/>
      <c r="AH15" s="86"/>
      <c r="AI15" s="82"/>
    </row>
    <row r="16" spans="1:35" ht="120" x14ac:dyDescent="0.2">
      <c r="A16" s="79"/>
      <c r="B16" s="79"/>
      <c r="C16" s="87" t="s">
        <v>39</v>
      </c>
      <c r="D16" s="87"/>
      <c r="E16" s="150" t="s">
        <v>135</v>
      </c>
      <c r="F16" s="85"/>
      <c r="G16" s="150" t="s">
        <v>164</v>
      </c>
      <c r="H16" s="87"/>
      <c r="I16" s="87"/>
      <c r="J16" s="85">
        <f>(J15/L15)</f>
        <v>0.60260377618121785</v>
      </c>
      <c r="K16" s="94" t="s">
        <v>42</v>
      </c>
      <c r="L16" s="87"/>
      <c r="M16" s="87"/>
      <c r="N16" s="95"/>
      <c r="O16" s="88"/>
      <c r="P16" s="83"/>
      <c r="Q16" s="88"/>
      <c r="R16" s="88"/>
      <c r="S16" s="86"/>
      <c r="T16" s="88"/>
      <c r="U16" s="88"/>
      <c r="V16" s="86"/>
      <c r="W16" s="88"/>
      <c r="X16" s="88"/>
      <c r="Y16" s="86"/>
      <c r="Z16" s="88"/>
      <c r="AA16" s="88"/>
      <c r="AB16" s="86"/>
      <c r="AC16" s="88"/>
      <c r="AD16" s="88"/>
      <c r="AE16" s="86"/>
      <c r="AF16" s="88"/>
      <c r="AG16" s="88"/>
      <c r="AH16" s="86"/>
      <c r="AI16" s="82"/>
    </row>
    <row r="17" spans="1:37" x14ac:dyDescent="0.2">
      <c r="A17" s="82"/>
      <c r="B17" s="82"/>
      <c r="C17" s="82"/>
      <c r="D17" s="88"/>
      <c r="E17" s="88"/>
      <c r="F17" s="82"/>
      <c r="G17" s="82"/>
      <c r="H17" s="82"/>
      <c r="I17" s="82"/>
      <c r="J17" s="88"/>
      <c r="K17" s="82"/>
      <c r="L17" s="82"/>
      <c r="M17" s="82"/>
      <c r="N17" s="83"/>
      <c r="O17" s="82"/>
      <c r="P17" s="82"/>
      <c r="Q17" s="82"/>
      <c r="R17" s="83"/>
      <c r="S17" s="88"/>
      <c r="T17" s="82"/>
      <c r="U17" s="82"/>
      <c r="V17" s="88"/>
      <c r="W17" s="82"/>
      <c r="X17" s="82"/>
      <c r="Y17" s="88"/>
      <c r="Z17" s="82"/>
      <c r="AA17" s="82"/>
      <c r="AB17" s="88"/>
      <c r="AC17" s="82"/>
      <c r="AD17" s="82"/>
      <c r="AE17" s="88"/>
      <c r="AF17" s="82"/>
      <c r="AG17" s="82"/>
      <c r="AH17" s="88"/>
      <c r="AI17" s="82"/>
      <c r="AJ17" s="82"/>
      <c r="AK17" s="82"/>
    </row>
    <row r="18" spans="1:37" x14ac:dyDescent="0.2">
      <c r="A18" s="82"/>
      <c r="B18" s="82"/>
      <c r="C18" s="82"/>
      <c r="D18" s="82"/>
      <c r="E18" s="82"/>
      <c r="F18" s="82"/>
      <c r="G18" s="82"/>
      <c r="H18" s="82"/>
      <c r="I18" s="82"/>
      <c r="J18" s="82"/>
      <c r="K18" s="82"/>
      <c r="L18" s="82"/>
      <c r="M18" s="82"/>
      <c r="N18" s="83"/>
      <c r="O18" s="82"/>
      <c r="P18" s="82"/>
      <c r="Q18" s="82"/>
      <c r="R18" s="83"/>
      <c r="S18" s="82"/>
      <c r="T18" s="82"/>
      <c r="U18" s="82"/>
      <c r="V18" s="82"/>
      <c r="W18" s="82"/>
      <c r="X18" s="82"/>
      <c r="Y18" s="82"/>
      <c r="Z18" s="82"/>
      <c r="AA18" s="82"/>
      <c r="AB18" s="82"/>
      <c r="AC18" s="82"/>
      <c r="AD18" s="82"/>
      <c r="AE18" s="82"/>
      <c r="AF18" s="82"/>
      <c r="AG18" s="82"/>
      <c r="AH18" s="82"/>
      <c r="AI18" s="82"/>
      <c r="AJ18" s="82"/>
      <c r="AK18" s="82"/>
    </row>
    <row r="19" spans="1:37" x14ac:dyDescent="0.2">
      <c r="A19" s="82"/>
      <c r="B19" s="82"/>
      <c r="C19" s="82"/>
      <c r="D19" s="82"/>
      <c r="E19" s="82"/>
      <c r="F19" s="82"/>
      <c r="G19" s="82"/>
      <c r="H19" s="82"/>
      <c r="I19" s="82"/>
      <c r="J19" s="82"/>
      <c r="K19" s="82"/>
      <c r="L19" s="82"/>
      <c r="M19" s="82"/>
      <c r="N19" s="83"/>
      <c r="O19" s="82"/>
      <c r="P19" s="82"/>
      <c r="Q19" s="82"/>
      <c r="R19" s="83"/>
      <c r="S19" s="82"/>
      <c r="T19" s="82"/>
      <c r="U19" s="82"/>
      <c r="V19" s="82"/>
      <c r="W19" s="82"/>
      <c r="X19" s="82"/>
      <c r="Y19" s="82"/>
      <c r="Z19" s="82"/>
      <c r="AA19" s="82"/>
      <c r="AB19" s="82"/>
      <c r="AC19" s="82"/>
      <c r="AD19" s="82"/>
      <c r="AE19" s="82"/>
      <c r="AF19" s="82"/>
      <c r="AG19" s="82"/>
      <c r="AH19" s="82"/>
      <c r="AI19" s="82"/>
      <c r="AJ19" s="82"/>
      <c r="AK19" s="82"/>
    </row>
    <row r="20" spans="1:37" x14ac:dyDescent="0.2">
      <c r="A20" s="82"/>
      <c r="B20" s="82"/>
      <c r="C20" s="82"/>
      <c r="D20" s="82"/>
      <c r="E20" s="82"/>
      <c r="F20" s="82"/>
      <c r="G20" s="82"/>
      <c r="H20" s="82"/>
      <c r="I20" s="82"/>
      <c r="J20" s="82"/>
      <c r="K20" s="82"/>
      <c r="L20" s="82"/>
      <c r="M20" s="82"/>
      <c r="N20" s="83"/>
      <c r="O20" s="82"/>
      <c r="P20" s="82"/>
      <c r="Q20" s="82"/>
      <c r="R20" s="83"/>
      <c r="S20" s="82"/>
      <c r="T20" s="82"/>
      <c r="U20" s="82"/>
      <c r="V20" s="82"/>
      <c r="W20" s="82"/>
      <c r="X20" s="82"/>
      <c r="Y20" s="82"/>
      <c r="Z20" s="82"/>
      <c r="AA20" s="82"/>
      <c r="AB20" s="82"/>
      <c r="AC20" s="82"/>
      <c r="AD20" s="82"/>
      <c r="AE20" s="82"/>
      <c r="AF20" s="82"/>
      <c r="AG20" s="82"/>
      <c r="AH20" s="82"/>
      <c r="AI20" s="82"/>
      <c r="AJ20" s="82"/>
      <c r="AK20" s="82"/>
    </row>
    <row r="21" spans="1:37" x14ac:dyDescent="0.2">
      <c r="A21" s="82"/>
      <c r="B21" s="82"/>
      <c r="C21" s="82"/>
      <c r="D21" s="82"/>
      <c r="E21" s="82"/>
      <c r="F21" s="82"/>
      <c r="G21" s="82"/>
      <c r="H21" s="82"/>
      <c r="I21" s="82"/>
      <c r="J21" s="82"/>
      <c r="K21" s="82"/>
      <c r="L21" s="82"/>
      <c r="M21" s="82"/>
      <c r="N21" s="83"/>
      <c r="O21" s="82"/>
      <c r="P21" s="82"/>
      <c r="Q21" s="82"/>
      <c r="R21" s="83"/>
      <c r="S21" s="82"/>
      <c r="T21" s="82"/>
      <c r="U21" s="82"/>
      <c r="V21" s="82"/>
      <c r="W21" s="82"/>
      <c r="X21" s="82"/>
      <c r="Y21" s="82"/>
      <c r="Z21" s="82"/>
      <c r="AA21" s="82"/>
      <c r="AB21" s="82"/>
      <c r="AC21" s="82"/>
      <c r="AD21" s="82"/>
      <c r="AE21" s="82"/>
      <c r="AF21" s="82"/>
      <c r="AG21" s="82"/>
      <c r="AH21" s="82"/>
      <c r="AI21" s="82"/>
      <c r="AJ21" s="82"/>
      <c r="AK21" s="82"/>
    </row>
  </sheetData>
  <mergeCells count="2">
    <mergeCell ref="E1:H1"/>
    <mergeCell ref="M1:N1"/>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815C2-B027-46AC-A107-E326EADCCA37}">
  <dimension ref="A1:N16"/>
  <sheetViews>
    <sheetView workbookViewId="0">
      <selection activeCell="B2" sqref="B2"/>
    </sheetView>
  </sheetViews>
  <sheetFormatPr defaultRowHeight="15" x14ac:dyDescent="0.25"/>
  <cols>
    <col min="1" max="1" width="19.28515625" customWidth="1"/>
    <col min="2" max="2" width="17.42578125" customWidth="1"/>
    <col min="3" max="3" width="16.5703125" customWidth="1"/>
    <col min="4" max="4" width="15.140625" customWidth="1"/>
    <col min="5" max="5" width="15.42578125" customWidth="1"/>
    <col min="6" max="6" width="14.5703125" customWidth="1"/>
    <col min="7" max="7" width="13.42578125" customWidth="1"/>
    <col min="8" max="8" width="14.140625" customWidth="1"/>
    <col min="9" max="9" width="12.5703125" customWidth="1"/>
    <col min="10" max="10" width="13.7109375" customWidth="1"/>
    <col min="11" max="11" width="20.42578125" customWidth="1"/>
    <col min="12" max="12" width="18.7109375" customWidth="1"/>
    <col min="13" max="13" width="18" customWidth="1"/>
    <col min="14" max="14" width="17.28515625" customWidth="1"/>
  </cols>
  <sheetData>
    <row r="1" spans="1:14" s="115" customFormat="1" ht="31.5" x14ac:dyDescent="0.25">
      <c r="A1" s="107"/>
      <c r="B1" s="108"/>
      <c r="C1" s="109" t="s">
        <v>58</v>
      </c>
      <c r="D1" s="110" t="s">
        <v>59</v>
      </c>
      <c r="E1" s="278" t="s">
        <v>25</v>
      </c>
      <c r="F1" s="279"/>
      <c r="G1" s="279"/>
      <c r="H1" s="279"/>
      <c r="I1" s="280"/>
      <c r="J1" s="109" t="s">
        <v>54</v>
      </c>
      <c r="K1" s="109" t="s">
        <v>55</v>
      </c>
      <c r="L1" s="111" t="s">
        <v>56</v>
      </c>
      <c r="M1" s="278" t="s">
        <v>41</v>
      </c>
      <c r="N1" s="280"/>
    </row>
    <row r="2" spans="1:14" s="121" customFormat="1" ht="63" x14ac:dyDescent="0.25">
      <c r="A2" s="78"/>
      <c r="B2" s="78" t="s">
        <v>160</v>
      </c>
      <c r="C2" s="118"/>
      <c r="D2" s="119"/>
      <c r="E2" s="110" t="s">
        <v>27</v>
      </c>
      <c r="F2" s="110" t="s">
        <v>28</v>
      </c>
      <c r="G2" s="110" t="s">
        <v>29</v>
      </c>
      <c r="H2" s="110" t="s">
        <v>30</v>
      </c>
      <c r="I2" s="110" t="s">
        <v>31</v>
      </c>
      <c r="J2" s="110" t="s">
        <v>19</v>
      </c>
      <c r="K2" s="110"/>
      <c r="L2" s="111"/>
      <c r="M2" s="110" t="s">
        <v>44</v>
      </c>
      <c r="N2" s="120" t="s">
        <v>43</v>
      </c>
    </row>
    <row r="3" spans="1:14" ht="15.75" x14ac:dyDescent="0.25">
      <c r="A3" s="5" t="s">
        <v>3</v>
      </c>
      <c r="B3" s="84"/>
      <c r="C3" s="6">
        <v>859.45762711864404</v>
      </c>
      <c r="D3" s="79">
        <v>1</v>
      </c>
      <c r="E3" s="79">
        <v>0.5</v>
      </c>
      <c r="F3" s="80">
        <v>38480</v>
      </c>
      <c r="G3" s="80">
        <f>(E3)*(F3)</f>
        <v>19240</v>
      </c>
      <c r="H3" s="80">
        <v>2000</v>
      </c>
      <c r="I3" s="80">
        <f>SUM(G3+H3)*0.1</f>
        <v>2124</v>
      </c>
      <c r="J3" s="80">
        <f>SUM(G3+H3+I3)</f>
        <v>23364</v>
      </c>
      <c r="K3" s="80">
        <f>($K$15*N3)</f>
        <v>9562.264171996163</v>
      </c>
      <c r="L3" s="97">
        <f>SUM(J3:K3)</f>
        <v>32926.264171996161</v>
      </c>
      <c r="M3" s="6">
        <v>859.45762711864404</v>
      </c>
      <c r="N3" s="85">
        <f>(M3/$M$15)</f>
        <v>1.6039411124477286E-2</v>
      </c>
    </row>
    <row r="4" spans="1:14" ht="15.75" x14ac:dyDescent="0.25">
      <c r="A4" s="5" t="s">
        <v>4</v>
      </c>
      <c r="B4" s="84"/>
      <c r="C4" s="6">
        <v>1377.1785310734463</v>
      </c>
      <c r="D4" s="79">
        <v>2</v>
      </c>
      <c r="E4" s="79">
        <v>0.8</v>
      </c>
      <c r="F4" s="80">
        <v>38480</v>
      </c>
      <c r="G4" s="80">
        <f t="shared" ref="G4:G14" si="0">(E4)*(F4)</f>
        <v>30784</v>
      </c>
      <c r="H4" s="80">
        <v>2500</v>
      </c>
      <c r="I4" s="80">
        <f t="shared" ref="I4:I14" si="1">SUM(G4+H4)*0.1</f>
        <v>3328.4</v>
      </c>
      <c r="J4" s="80">
        <f t="shared" ref="J4:J14" si="2">SUM(G4+H4+I4)</f>
        <v>36612.400000000001</v>
      </c>
      <c r="K4" s="80">
        <f t="shared" ref="K4:K14" si="3">($K$15*N4)</f>
        <v>15322.389970841472</v>
      </c>
      <c r="L4" s="97">
        <f t="shared" ref="L4:L14" si="4">SUM(J4:K4)</f>
        <v>51934.789970841477</v>
      </c>
      <c r="M4" s="6">
        <v>1377.1785310734463</v>
      </c>
      <c r="N4" s="85">
        <f t="shared" ref="N4:N14" si="5">(M4/$M$15)</f>
        <v>2.5701246873269558E-2</v>
      </c>
    </row>
    <row r="5" spans="1:14" ht="15.75" x14ac:dyDescent="0.25">
      <c r="A5" s="5" t="s">
        <v>5</v>
      </c>
      <c r="B5" s="84"/>
      <c r="C5" s="6">
        <v>1098.8779661016949</v>
      </c>
      <c r="D5" s="87">
        <v>2</v>
      </c>
      <c r="E5" s="79">
        <v>0.8</v>
      </c>
      <c r="F5" s="80">
        <v>38480</v>
      </c>
      <c r="G5" s="80">
        <f t="shared" si="0"/>
        <v>30784</v>
      </c>
      <c r="H5" s="80">
        <v>2500</v>
      </c>
      <c r="I5" s="80">
        <f t="shared" si="1"/>
        <v>3328.4</v>
      </c>
      <c r="J5" s="80">
        <f t="shared" si="2"/>
        <v>36612.400000000001</v>
      </c>
      <c r="K5" s="80">
        <f t="shared" si="3"/>
        <v>12226.037762766524</v>
      </c>
      <c r="L5" s="97">
        <f t="shared" si="4"/>
        <v>48838.437762766524</v>
      </c>
      <c r="M5" s="6">
        <v>1098.8779661016949</v>
      </c>
      <c r="N5" s="85">
        <f t="shared" si="5"/>
        <v>2.0507532794867389E-2</v>
      </c>
    </row>
    <row r="6" spans="1:14" ht="15.75" x14ac:dyDescent="0.25">
      <c r="A6" s="5" t="s">
        <v>6</v>
      </c>
      <c r="B6" s="84"/>
      <c r="C6" s="6">
        <v>385.73276836158192</v>
      </c>
      <c r="D6" s="79">
        <v>1</v>
      </c>
      <c r="E6" s="79">
        <v>0.5</v>
      </c>
      <c r="F6" s="80">
        <v>38480</v>
      </c>
      <c r="G6" s="80">
        <f t="shared" si="0"/>
        <v>19240</v>
      </c>
      <c r="H6" s="80">
        <v>2000</v>
      </c>
      <c r="I6" s="80">
        <f t="shared" si="1"/>
        <v>2124</v>
      </c>
      <c r="J6" s="80">
        <f t="shared" si="2"/>
        <v>23364</v>
      </c>
      <c r="K6" s="80">
        <f t="shared" si="3"/>
        <v>4291.6352295744691</v>
      </c>
      <c r="L6" s="97">
        <f t="shared" si="4"/>
        <v>27655.635229574469</v>
      </c>
      <c r="M6" s="6">
        <v>385.73276836158192</v>
      </c>
      <c r="N6" s="85">
        <f t="shared" si="5"/>
        <v>7.1986404689618304E-3</v>
      </c>
    </row>
    <row r="7" spans="1:14" ht="15.75" x14ac:dyDescent="0.25">
      <c r="A7" s="5" t="s">
        <v>32</v>
      </c>
      <c r="B7" s="84"/>
      <c r="C7" s="89">
        <v>9136</v>
      </c>
      <c r="D7" s="79">
        <v>3</v>
      </c>
      <c r="E7" s="90">
        <f>((C7/3000)*0.8)</f>
        <v>2.4362666666666666</v>
      </c>
      <c r="F7" s="80">
        <v>38480</v>
      </c>
      <c r="G7" s="80">
        <f t="shared" si="0"/>
        <v>93747.541333333327</v>
      </c>
      <c r="H7" s="80">
        <f>((C7/2000)*2000)</f>
        <v>9136</v>
      </c>
      <c r="I7" s="80">
        <f t="shared" si="1"/>
        <v>10288.354133333334</v>
      </c>
      <c r="J7" s="80">
        <f t="shared" si="2"/>
        <v>113171.89546666667</v>
      </c>
      <c r="K7" s="80">
        <f t="shared" si="3"/>
        <v>0</v>
      </c>
      <c r="L7" s="97">
        <f t="shared" si="4"/>
        <v>113171.89546666667</v>
      </c>
      <c r="M7" s="89">
        <v>0</v>
      </c>
      <c r="N7" s="85">
        <f t="shared" si="5"/>
        <v>0</v>
      </c>
    </row>
    <row r="8" spans="1:14" ht="15.75" x14ac:dyDescent="0.25">
      <c r="A8" s="5" t="s">
        <v>8</v>
      </c>
      <c r="B8" s="84"/>
      <c r="C8" s="6">
        <v>12099.93559322034</v>
      </c>
      <c r="D8" s="87">
        <v>3</v>
      </c>
      <c r="E8" s="90">
        <f t="shared" ref="E8:E9" si="6">((C8/3000)*0.8)</f>
        <v>3.2266494915254245</v>
      </c>
      <c r="F8" s="80">
        <v>38480</v>
      </c>
      <c r="G8" s="80">
        <f t="shared" si="0"/>
        <v>124161.47243389834</v>
      </c>
      <c r="H8" s="80">
        <f t="shared" ref="H8:H9" si="7">((C8/2000)*2000)</f>
        <v>12099.93559322034</v>
      </c>
      <c r="I8" s="80">
        <f t="shared" si="1"/>
        <v>13626.140802711869</v>
      </c>
      <c r="J8" s="80">
        <f t="shared" si="2"/>
        <v>149887.54882983054</v>
      </c>
      <c r="K8" s="80">
        <f t="shared" si="3"/>
        <v>134623.01916431743</v>
      </c>
      <c r="L8" s="97">
        <f t="shared" si="4"/>
        <v>284510.567994148</v>
      </c>
      <c r="M8" s="6">
        <v>12099.93559322034</v>
      </c>
      <c r="N8" s="85">
        <f t="shared" si="5"/>
        <v>0.22581199518817668</v>
      </c>
    </row>
    <row r="9" spans="1:14" ht="15.75" x14ac:dyDescent="0.25">
      <c r="A9" s="5" t="s">
        <v>9</v>
      </c>
      <c r="B9" s="84"/>
      <c r="C9" s="6">
        <v>22651.82429378531</v>
      </c>
      <c r="D9" s="87">
        <v>3</v>
      </c>
      <c r="E9" s="90">
        <f t="shared" si="6"/>
        <v>6.0404864783427499</v>
      </c>
      <c r="F9" s="80">
        <v>38480</v>
      </c>
      <c r="G9" s="80">
        <f t="shared" si="0"/>
        <v>232437.91968662903</v>
      </c>
      <c r="H9" s="80">
        <f t="shared" si="7"/>
        <v>22651.82429378531</v>
      </c>
      <c r="I9" s="80">
        <f t="shared" si="1"/>
        <v>25508.974398041435</v>
      </c>
      <c r="J9" s="80">
        <f t="shared" si="2"/>
        <v>280598.71837845579</v>
      </c>
      <c r="K9" s="80">
        <f t="shared" si="3"/>
        <v>252022.57917121795</v>
      </c>
      <c r="L9" s="97">
        <f t="shared" si="4"/>
        <v>532621.29754967371</v>
      </c>
      <c r="M9" s="6">
        <v>22651.82429378531</v>
      </c>
      <c r="N9" s="85">
        <f t="shared" si="5"/>
        <v>0.42273395581524126</v>
      </c>
    </row>
    <row r="10" spans="1:14" ht="15.75" x14ac:dyDescent="0.25">
      <c r="A10" s="5" t="s">
        <v>10</v>
      </c>
      <c r="B10" s="84"/>
      <c r="C10" s="6">
        <v>2040.1887005649717</v>
      </c>
      <c r="D10" s="87">
        <v>2</v>
      </c>
      <c r="E10" s="79">
        <v>0.8</v>
      </c>
      <c r="F10" s="80">
        <v>38480</v>
      </c>
      <c r="G10" s="80">
        <f t="shared" si="0"/>
        <v>30784</v>
      </c>
      <c r="H10" s="80">
        <v>2500</v>
      </c>
      <c r="I10" s="80">
        <f t="shared" si="1"/>
        <v>3328.4</v>
      </c>
      <c r="J10" s="80">
        <f t="shared" si="2"/>
        <v>36612.400000000001</v>
      </c>
      <c r="K10" s="80">
        <f t="shared" si="3"/>
        <v>22698.993760667083</v>
      </c>
      <c r="L10" s="97">
        <f t="shared" si="4"/>
        <v>59311.393760667081</v>
      </c>
      <c r="M10" s="6">
        <v>2040.1887005649717</v>
      </c>
      <c r="N10" s="85">
        <f t="shared" si="5"/>
        <v>3.8074506883580606E-2</v>
      </c>
    </row>
    <row r="11" spans="1:14" ht="15.75" x14ac:dyDescent="0.25">
      <c r="A11" s="5" t="s">
        <v>11</v>
      </c>
      <c r="B11" s="84"/>
      <c r="C11" s="6">
        <v>2912.9474576271186</v>
      </c>
      <c r="D11" s="87">
        <v>2</v>
      </c>
      <c r="E11" s="79">
        <v>0.8</v>
      </c>
      <c r="F11" s="80">
        <v>38480</v>
      </c>
      <c r="G11" s="80">
        <f t="shared" si="0"/>
        <v>30784</v>
      </c>
      <c r="H11" s="80">
        <v>2500</v>
      </c>
      <c r="I11" s="80">
        <f t="shared" si="1"/>
        <v>3328.4</v>
      </c>
      <c r="J11" s="80">
        <f t="shared" si="2"/>
        <v>36612.400000000001</v>
      </c>
      <c r="K11" s="80">
        <f t="shared" si="3"/>
        <v>32409.245354372713</v>
      </c>
      <c r="L11" s="97">
        <f t="shared" si="4"/>
        <v>69021.645354372711</v>
      </c>
      <c r="M11" s="6">
        <v>2912.9474576271186</v>
      </c>
      <c r="N11" s="85">
        <f t="shared" si="5"/>
        <v>5.4362146989746236E-2</v>
      </c>
    </row>
    <row r="12" spans="1:14" ht="15.75" x14ac:dyDescent="0.25">
      <c r="A12" s="5" t="s">
        <v>12</v>
      </c>
      <c r="B12" s="84"/>
      <c r="C12" s="6">
        <v>313.08813559322033</v>
      </c>
      <c r="D12" s="87">
        <v>1</v>
      </c>
      <c r="E12" s="79">
        <v>0.5</v>
      </c>
      <c r="F12" s="80">
        <v>38480</v>
      </c>
      <c r="G12" s="80">
        <f t="shared" si="0"/>
        <v>19240</v>
      </c>
      <c r="H12" s="80">
        <v>2000</v>
      </c>
      <c r="I12" s="80">
        <f t="shared" si="1"/>
        <v>2124</v>
      </c>
      <c r="J12" s="80">
        <f t="shared" si="2"/>
        <v>23364</v>
      </c>
      <c r="K12" s="80">
        <f t="shared" si="3"/>
        <v>3483.3962340843173</v>
      </c>
      <c r="L12" s="97">
        <f t="shared" si="4"/>
        <v>26847.396234084317</v>
      </c>
      <c r="M12" s="6">
        <v>313.08813559322033</v>
      </c>
      <c r="N12" s="85">
        <f t="shared" si="5"/>
        <v>5.8429283382024407E-3</v>
      </c>
    </row>
    <row r="13" spans="1:14" ht="15.75" x14ac:dyDescent="0.25">
      <c r="A13" s="5" t="s">
        <v>13</v>
      </c>
      <c r="B13" s="91"/>
      <c r="C13" s="6">
        <v>8654.9429378531077</v>
      </c>
      <c r="D13" s="79">
        <v>3</v>
      </c>
      <c r="E13" s="90">
        <f>((C13/3000)*0.8)</f>
        <v>2.3079847834274956</v>
      </c>
      <c r="F13" s="80">
        <v>38480</v>
      </c>
      <c r="G13" s="80">
        <f t="shared" si="0"/>
        <v>88811.254466290033</v>
      </c>
      <c r="H13" s="80">
        <f>((C13/2000)*2000)</f>
        <v>8654.9429378531077</v>
      </c>
      <c r="I13" s="80">
        <f t="shared" si="1"/>
        <v>9746.6197404143149</v>
      </c>
      <c r="J13" s="80">
        <f t="shared" si="2"/>
        <v>107212.81714455746</v>
      </c>
      <c r="K13" s="80">
        <f t="shared" si="3"/>
        <v>96294.276941566131</v>
      </c>
      <c r="L13" s="97">
        <f t="shared" si="4"/>
        <v>203507.09408612357</v>
      </c>
      <c r="M13" s="6">
        <v>8654.9429378531077</v>
      </c>
      <c r="N13" s="85">
        <f t="shared" si="5"/>
        <v>0.16152068893089688</v>
      </c>
    </row>
    <row r="14" spans="1:14" ht="15.75" x14ac:dyDescent="0.25">
      <c r="A14" s="5" t="s">
        <v>14</v>
      </c>
      <c r="B14" s="84"/>
      <c r="C14" s="6">
        <v>1189.939548022599</v>
      </c>
      <c r="D14" s="87">
        <v>2</v>
      </c>
      <c r="E14" s="79">
        <v>0.8</v>
      </c>
      <c r="F14" s="80">
        <v>38480</v>
      </c>
      <c r="G14" s="80">
        <f t="shared" si="0"/>
        <v>30784</v>
      </c>
      <c r="H14" s="80">
        <v>2500</v>
      </c>
      <c r="I14" s="80">
        <f t="shared" si="1"/>
        <v>3328.4</v>
      </c>
      <c r="J14" s="80">
        <f t="shared" si="2"/>
        <v>36612.400000000001</v>
      </c>
      <c r="K14" s="80">
        <f t="shared" si="3"/>
        <v>13239.182419085166</v>
      </c>
      <c r="L14" s="97">
        <f t="shared" si="4"/>
        <v>49851.582419085171</v>
      </c>
      <c r="M14" s="6">
        <v>1189.939548022599</v>
      </c>
      <c r="N14" s="85">
        <f t="shared" si="5"/>
        <v>2.2206946592579865E-2</v>
      </c>
    </row>
    <row r="15" spans="1:14" ht="75" x14ac:dyDescent="0.25">
      <c r="A15" s="79"/>
      <c r="B15" s="92">
        <v>1500198</v>
      </c>
      <c r="C15" s="87">
        <f>SUM(C3:C14)</f>
        <v>62720.113559322032</v>
      </c>
      <c r="D15" s="79" t="s">
        <v>26</v>
      </c>
      <c r="E15" s="85" t="s">
        <v>33</v>
      </c>
      <c r="F15" s="79" t="s">
        <v>34</v>
      </c>
      <c r="G15" s="85"/>
      <c r="H15" s="79" t="s">
        <v>35</v>
      </c>
      <c r="I15" s="87" t="s">
        <v>36</v>
      </c>
      <c r="J15" s="93">
        <f>SUM(J3:J14)</f>
        <v>904024.9798195106</v>
      </c>
      <c r="K15" s="93">
        <f>(B15-J15)</f>
        <v>596173.0201804894</v>
      </c>
      <c r="L15" s="98">
        <f>SUM(J15:K15)</f>
        <v>1500198</v>
      </c>
      <c r="M15" s="87">
        <f>SUM(M3:M14)</f>
        <v>53584.113559322032</v>
      </c>
      <c r="N15" s="85">
        <v>0.99999999999999989</v>
      </c>
    </row>
    <row r="16" spans="1:14" ht="120" x14ac:dyDescent="0.25">
      <c r="A16" s="79"/>
      <c r="B16" s="79"/>
      <c r="C16" s="87" t="s">
        <v>39</v>
      </c>
      <c r="D16" s="87"/>
      <c r="E16" s="85"/>
      <c r="F16" s="85"/>
      <c r="G16" s="85"/>
      <c r="H16" s="87"/>
      <c r="I16" s="87"/>
      <c r="J16" s="85">
        <f>(J15/L15)</f>
        <v>0.60260377618121785</v>
      </c>
      <c r="K16" s="94" t="s">
        <v>42</v>
      </c>
      <c r="L16" s="87"/>
      <c r="M16" s="87"/>
      <c r="N16" s="95"/>
    </row>
  </sheetData>
  <mergeCells count="2">
    <mergeCell ref="E1:I1"/>
    <mergeCell ref="M1:N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562D9-40FB-49A2-A7B1-10DC6D4EB34F}">
  <dimension ref="A1:N16"/>
  <sheetViews>
    <sheetView workbookViewId="0">
      <selection activeCell="E16" sqref="E16"/>
    </sheetView>
  </sheetViews>
  <sheetFormatPr defaultRowHeight="15" x14ac:dyDescent="0.25"/>
  <cols>
    <col min="1" max="1" width="21.140625" customWidth="1"/>
    <col min="2" max="2" width="14.7109375" customWidth="1"/>
    <col min="3" max="3" width="13.28515625" customWidth="1"/>
    <col min="4" max="4" width="11.85546875" customWidth="1"/>
    <col min="5" max="6" width="12.28515625" customWidth="1"/>
    <col min="7" max="7" width="12.85546875" customWidth="1"/>
    <col min="8" max="8" width="13.7109375" customWidth="1"/>
    <col min="9" max="9" width="12.7109375" customWidth="1"/>
    <col min="10" max="10" width="13.140625" customWidth="1"/>
    <col min="11" max="11" width="20.42578125" customWidth="1"/>
    <col min="12" max="12" width="20" customWidth="1"/>
    <col min="13" max="13" width="16.5703125" customWidth="1"/>
    <col min="14" max="14" width="16.85546875" customWidth="1"/>
  </cols>
  <sheetData>
    <row r="1" spans="1:14" s="116" customFormat="1" ht="31.5" x14ac:dyDescent="0.25">
      <c r="A1" s="76"/>
      <c r="B1" s="114"/>
      <c r="C1" s="124" t="s">
        <v>58</v>
      </c>
      <c r="D1" s="117" t="s">
        <v>59</v>
      </c>
      <c r="E1" s="278" t="s">
        <v>25</v>
      </c>
      <c r="F1" s="279"/>
      <c r="G1" s="279"/>
      <c r="H1" s="279"/>
      <c r="I1" s="280"/>
      <c r="J1" s="124" t="s">
        <v>54</v>
      </c>
      <c r="K1" s="124" t="s">
        <v>55</v>
      </c>
      <c r="L1" s="111" t="s">
        <v>56</v>
      </c>
      <c r="M1" s="114" t="s">
        <v>41</v>
      </c>
      <c r="N1" s="125"/>
    </row>
    <row r="2" spans="1:14" s="115" customFormat="1" ht="63" x14ac:dyDescent="0.25">
      <c r="A2" s="110"/>
      <c r="B2" s="110" t="s">
        <v>160</v>
      </c>
      <c r="C2" s="108"/>
      <c r="D2" s="112"/>
      <c r="E2" s="110" t="s">
        <v>27</v>
      </c>
      <c r="F2" s="110" t="s">
        <v>28</v>
      </c>
      <c r="G2" s="110" t="s">
        <v>29</v>
      </c>
      <c r="H2" s="110" t="s">
        <v>30</v>
      </c>
      <c r="I2" s="110" t="s">
        <v>31</v>
      </c>
      <c r="J2" s="110" t="s">
        <v>19</v>
      </c>
      <c r="K2" s="110"/>
      <c r="L2" s="111"/>
      <c r="M2" s="110" t="s">
        <v>44</v>
      </c>
      <c r="N2" s="120" t="s">
        <v>43</v>
      </c>
    </row>
    <row r="3" spans="1:14" ht="15.75" x14ac:dyDescent="0.25">
      <c r="A3" s="5" t="s">
        <v>3</v>
      </c>
      <c r="B3" s="84"/>
      <c r="C3" s="6">
        <v>859.45762711864404</v>
      </c>
      <c r="D3" s="79">
        <v>1</v>
      </c>
      <c r="E3" s="79">
        <v>0.5</v>
      </c>
      <c r="F3" s="80">
        <v>38480</v>
      </c>
      <c r="G3" s="80">
        <f>(E3)*(F3)</f>
        <v>19240</v>
      </c>
      <c r="H3" s="80">
        <v>2000</v>
      </c>
      <c r="I3" s="80">
        <f>SUM(G3+H3)*0.1</f>
        <v>2124</v>
      </c>
      <c r="J3" s="80">
        <f>SUM(G3+H3+I3)</f>
        <v>23364</v>
      </c>
      <c r="K3" s="80">
        <f>($K$15*N3)</f>
        <v>9720.197611475267</v>
      </c>
      <c r="L3" s="97">
        <f>SUM(J3:K3)</f>
        <v>33084.197611475269</v>
      </c>
      <c r="M3" s="6">
        <v>859.45762711864404</v>
      </c>
      <c r="N3" s="85">
        <f>(M3/$M$15)</f>
        <v>1.3703062356635412E-2</v>
      </c>
    </row>
    <row r="4" spans="1:14" ht="15.75" x14ac:dyDescent="0.25">
      <c r="A4" s="5" t="s">
        <v>4</v>
      </c>
      <c r="B4" s="84"/>
      <c r="C4" s="6">
        <v>1377.1785310734463</v>
      </c>
      <c r="D4" s="79">
        <v>2</v>
      </c>
      <c r="E4" s="79">
        <v>0.8</v>
      </c>
      <c r="F4" s="80">
        <v>38480</v>
      </c>
      <c r="G4" s="80">
        <f t="shared" ref="G4:G14" si="0">(E4)*(F4)</f>
        <v>30784</v>
      </c>
      <c r="H4" s="80">
        <v>2500</v>
      </c>
      <c r="I4" s="80">
        <f t="shared" ref="I4:I14" si="1">SUM(G4+H4)*0.1</f>
        <v>3328.4</v>
      </c>
      <c r="J4" s="80">
        <f t="shared" ref="J4:J14" si="2">SUM(G4+H4+I4)</f>
        <v>36612.400000000001</v>
      </c>
      <c r="K4" s="80">
        <f t="shared" ref="K4:K14" si="3">($K$15*N4)</f>
        <v>15575.459506006795</v>
      </c>
      <c r="L4" s="97">
        <f t="shared" ref="L4:L14" si="4">SUM(J4:K4)</f>
        <v>52187.859506006796</v>
      </c>
      <c r="M4" s="6">
        <v>1377.1785310734463</v>
      </c>
      <c r="N4" s="85">
        <f t="shared" ref="N4:N14" si="5">(M4/$M$15)</f>
        <v>2.1957526109561028E-2</v>
      </c>
    </row>
    <row r="5" spans="1:14" ht="15.75" x14ac:dyDescent="0.25">
      <c r="A5" s="5" t="s">
        <v>5</v>
      </c>
      <c r="B5" s="84"/>
      <c r="C5" s="6">
        <v>1098.8779661016949</v>
      </c>
      <c r="D5" s="87">
        <v>2</v>
      </c>
      <c r="E5" s="79">
        <v>0.8</v>
      </c>
      <c r="F5" s="80">
        <v>38480</v>
      </c>
      <c r="G5" s="80">
        <f t="shared" si="0"/>
        <v>30784</v>
      </c>
      <c r="H5" s="80">
        <v>2500</v>
      </c>
      <c r="I5" s="80">
        <f t="shared" si="1"/>
        <v>3328.4</v>
      </c>
      <c r="J5" s="80">
        <f t="shared" si="2"/>
        <v>36612.400000000001</v>
      </c>
      <c r="K5" s="80">
        <f t="shared" si="3"/>
        <v>12427.966946100521</v>
      </c>
      <c r="L5" s="97">
        <f t="shared" si="4"/>
        <v>49040.366946100519</v>
      </c>
      <c r="M5" s="6">
        <v>1098.8779661016949</v>
      </c>
      <c r="N5" s="85">
        <f t="shared" si="5"/>
        <v>1.7520344013126708E-2</v>
      </c>
    </row>
    <row r="6" spans="1:14" ht="15.75" x14ac:dyDescent="0.25">
      <c r="A6" s="5" t="s">
        <v>6</v>
      </c>
      <c r="B6" s="84"/>
      <c r="C6" s="6">
        <v>385.73276836158192</v>
      </c>
      <c r="D6" s="79">
        <v>1</v>
      </c>
      <c r="E6" s="79">
        <v>0.5</v>
      </c>
      <c r="F6" s="80">
        <v>38480</v>
      </c>
      <c r="G6" s="80">
        <f t="shared" si="0"/>
        <v>19240</v>
      </c>
      <c r="H6" s="80">
        <v>2000</v>
      </c>
      <c r="I6" s="80">
        <f t="shared" si="1"/>
        <v>2124</v>
      </c>
      <c r="J6" s="80">
        <f t="shared" si="2"/>
        <v>23364</v>
      </c>
      <c r="K6" s="80">
        <f t="shared" si="3"/>
        <v>4362.5172613406849</v>
      </c>
      <c r="L6" s="97">
        <f t="shared" si="4"/>
        <v>27726.517261340683</v>
      </c>
      <c r="M6" s="6">
        <v>385.73276836158192</v>
      </c>
      <c r="N6" s="85">
        <f t="shared" si="5"/>
        <v>6.1500648910137509E-3</v>
      </c>
    </row>
    <row r="7" spans="1:14" ht="15.75" x14ac:dyDescent="0.25">
      <c r="A7" s="5" t="s">
        <v>32</v>
      </c>
      <c r="B7" s="84"/>
      <c r="C7" s="89">
        <v>9136</v>
      </c>
      <c r="D7" s="79">
        <v>3</v>
      </c>
      <c r="E7" s="90">
        <v>0</v>
      </c>
      <c r="F7" s="80">
        <v>38480</v>
      </c>
      <c r="G7" s="80">
        <f t="shared" si="0"/>
        <v>0</v>
      </c>
      <c r="H7" s="80">
        <v>0</v>
      </c>
      <c r="I7" s="80">
        <f t="shared" si="1"/>
        <v>0</v>
      </c>
      <c r="J7" s="80">
        <f t="shared" si="2"/>
        <v>0</v>
      </c>
      <c r="K7" s="80">
        <f t="shared" si="3"/>
        <v>103325.30956314279</v>
      </c>
      <c r="L7" s="97">
        <f t="shared" si="4"/>
        <v>103325.30956314279</v>
      </c>
      <c r="M7" s="89">
        <v>9136</v>
      </c>
      <c r="N7" s="85">
        <f t="shared" si="5"/>
        <v>0.14566300157219861</v>
      </c>
    </row>
    <row r="8" spans="1:14" ht="15.75" x14ac:dyDescent="0.25">
      <c r="A8" s="5" t="s">
        <v>8</v>
      </c>
      <c r="B8" s="84"/>
      <c r="C8" s="6">
        <v>12099.93559322034</v>
      </c>
      <c r="D8" s="87">
        <v>3</v>
      </c>
      <c r="E8" s="90">
        <f t="shared" ref="E8:E9" si="6">((C8/3000)*0.8)</f>
        <v>3.2266494915254245</v>
      </c>
      <c r="F8" s="80">
        <v>38480</v>
      </c>
      <c r="G8" s="80">
        <f t="shared" si="0"/>
        <v>124161.47243389834</v>
      </c>
      <c r="H8" s="80">
        <f t="shared" ref="H8:H9" si="7">((C8/2000)*2000)</f>
        <v>12099.93559322034</v>
      </c>
      <c r="I8" s="80">
        <f t="shared" si="1"/>
        <v>13626.140802711869</v>
      </c>
      <c r="J8" s="80">
        <f t="shared" si="2"/>
        <v>149887.54882983054</v>
      </c>
      <c r="K8" s="80">
        <f t="shared" si="3"/>
        <v>136846.49637298394</v>
      </c>
      <c r="L8" s="97">
        <f t="shared" si="4"/>
        <v>286734.04520281451</v>
      </c>
      <c r="M8" s="6">
        <v>12099.93559322034</v>
      </c>
      <c r="N8" s="85">
        <f t="shared" si="5"/>
        <v>0.19291954217806001</v>
      </c>
    </row>
    <row r="9" spans="1:14" ht="15.75" x14ac:dyDescent="0.25">
      <c r="A9" s="5" t="s">
        <v>9</v>
      </c>
      <c r="B9" s="84"/>
      <c r="C9" s="6">
        <v>22651.82429378531</v>
      </c>
      <c r="D9" s="87">
        <v>3</v>
      </c>
      <c r="E9" s="90">
        <f t="shared" si="6"/>
        <v>6.0404864783427499</v>
      </c>
      <c r="F9" s="80">
        <v>38480</v>
      </c>
      <c r="G9" s="80">
        <f t="shared" si="0"/>
        <v>232437.91968662903</v>
      </c>
      <c r="H9" s="80">
        <f t="shared" si="7"/>
        <v>22651.82429378531</v>
      </c>
      <c r="I9" s="80">
        <f t="shared" si="1"/>
        <v>25508.974398041435</v>
      </c>
      <c r="J9" s="80">
        <f t="shared" si="2"/>
        <v>280598.71837845579</v>
      </c>
      <c r="K9" s="80">
        <f t="shared" si="3"/>
        <v>256185.06538148917</v>
      </c>
      <c r="L9" s="97">
        <f t="shared" si="4"/>
        <v>536783.78375994496</v>
      </c>
      <c r="M9" s="6">
        <v>22651.82429378531</v>
      </c>
      <c r="N9" s="85">
        <f t="shared" si="5"/>
        <v>0.36115725894470402</v>
      </c>
    </row>
    <row r="10" spans="1:14" ht="15.75" x14ac:dyDescent="0.25">
      <c r="A10" s="5" t="s">
        <v>10</v>
      </c>
      <c r="B10" s="84"/>
      <c r="C10" s="6">
        <v>2040.1887005649717</v>
      </c>
      <c r="D10" s="87">
        <v>2</v>
      </c>
      <c r="E10" s="79">
        <v>0.8</v>
      </c>
      <c r="F10" s="80">
        <v>38480</v>
      </c>
      <c r="G10" s="80">
        <f t="shared" si="0"/>
        <v>30784</v>
      </c>
      <c r="H10" s="80">
        <v>2500</v>
      </c>
      <c r="I10" s="80">
        <f t="shared" si="1"/>
        <v>3328.4</v>
      </c>
      <c r="J10" s="80">
        <f t="shared" si="2"/>
        <v>36612.400000000001</v>
      </c>
      <c r="K10" s="80">
        <f t="shared" si="3"/>
        <v>23073.897663430573</v>
      </c>
      <c r="L10" s="97">
        <f t="shared" si="4"/>
        <v>59686.297663430574</v>
      </c>
      <c r="M10" s="6">
        <v>2040.1887005649717</v>
      </c>
      <c r="N10" s="85">
        <f t="shared" si="5"/>
        <v>3.2528459927536918E-2</v>
      </c>
    </row>
    <row r="11" spans="1:14" ht="15.75" x14ac:dyDescent="0.25">
      <c r="A11" s="5" t="s">
        <v>11</v>
      </c>
      <c r="B11" s="84"/>
      <c r="C11" s="6">
        <v>2912.9474576271186</v>
      </c>
      <c r="D11" s="87">
        <v>2</v>
      </c>
      <c r="E11" s="79">
        <v>0.8</v>
      </c>
      <c r="F11" s="80">
        <v>38480</v>
      </c>
      <c r="G11" s="80">
        <f t="shared" si="0"/>
        <v>30784</v>
      </c>
      <c r="H11" s="80">
        <v>2500</v>
      </c>
      <c r="I11" s="80">
        <f t="shared" si="1"/>
        <v>3328.4</v>
      </c>
      <c r="J11" s="80">
        <f t="shared" si="2"/>
        <v>36612.400000000001</v>
      </c>
      <c r="K11" s="80">
        <f t="shared" si="3"/>
        <v>32944.526904607243</v>
      </c>
      <c r="L11" s="97">
        <f t="shared" si="4"/>
        <v>69556.926904607244</v>
      </c>
      <c r="M11" s="6">
        <v>2912.9474576271186</v>
      </c>
      <c r="N11" s="85">
        <f t="shared" si="5"/>
        <v>4.6443593487310739E-2</v>
      </c>
    </row>
    <row r="12" spans="1:14" ht="15.75" x14ac:dyDescent="0.25">
      <c r="A12" s="5" t="s">
        <v>12</v>
      </c>
      <c r="B12" s="84"/>
      <c r="C12" s="6">
        <v>313.08813559322033</v>
      </c>
      <c r="D12" s="87">
        <v>1</v>
      </c>
      <c r="E12" s="79">
        <v>0.5</v>
      </c>
      <c r="F12" s="80">
        <v>38480</v>
      </c>
      <c r="G12" s="80">
        <f t="shared" si="0"/>
        <v>19240</v>
      </c>
      <c r="H12" s="80">
        <v>2000</v>
      </c>
      <c r="I12" s="80">
        <f t="shared" si="1"/>
        <v>2124</v>
      </c>
      <c r="J12" s="80">
        <f t="shared" si="2"/>
        <v>23364</v>
      </c>
      <c r="K12" s="80">
        <f t="shared" si="3"/>
        <v>3540.9291298945609</v>
      </c>
      <c r="L12" s="97">
        <f t="shared" si="4"/>
        <v>26904.929129894561</v>
      </c>
      <c r="M12" s="6">
        <v>313.08813559322033</v>
      </c>
      <c r="N12" s="85">
        <f t="shared" si="5"/>
        <v>4.9918298584886141E-3</v>
      </c>
    </row>
    <row r="13" spans="1:14" ht="15.75" x14ac:dyDescent="0.25">
      <c r="A13" s="5" t="s">
        <v>13</v>
      </c>
      <c r="B13" s="91"/>
      <c r="C13" s="6">
        <v>8654.9429378531077</v>
      </c>
      <c r="D13" s="79">
        <v>3</v>
      </c>
      <c r="E13" s="90">
        <f>((C13/3000)*0.8)</f>
        <v>2.3079847834274956</v>
      </c>
      <c r="F13" s="80">
        <v>38480</v>
      </c>
      <c r="G13" s="80">
        <f t="shared" si="0"/>
        <v>88811.254466290033</v>
      </c>
      <c r="H13" s="80">
        <f>((C13/2000)*2000)</f>
        <v>8654.9429378531077</v>
      </c>
      <c r="I13" s="80">
        <f t="shared" si="1"/>
        <v>9746.6197404143149</v>
      </c>
      <c r="J13" s="80">
        <f t="shared" si="2"/>
        <v>107212.81714455746</v>
      </c>
      <c r="K13" s="80">
        <f t="shared" si="3"/>
        <v>97884.70428032057</v>
      </c>
      <c r="L13" s="97">
        <f t="shared" si="4"/>
        <v>205097.52142487804</v>
      </c>
      <c r="M13" s="6">
        <v>8654.9429378531077</v>
      </c>
      <c r="N13" s="85">
        <f t="shared" si="5"/>
        <v>0.13799310056521305</v>
      </c>
    </row>
    <row r="14" spans="1:14" ht="15.75" x14ac:dyDescent="0.25">
      <c r="A14" s="5" t="s">
        <v>14</v>
      </c>
      <c r="B14" s="84"/>
      <c r="C14" s="6">
        <v>1189.939548022599</v>
      </c>
      <c r="D14" s="87">
        <v>2</v>
      </c>
      <c r="E14" s="79">
        <v>0.8</v>
      </c>
      <c r="F14" s="80">
        <v>38480</v>
      </c>
      <c r="G14" s="80">
        <f t="shared" si="0"/>
        <v>30784</v>
      </c>
      <c r="H14" s="80">
        <v>2500</v>
      </c>
      <c r="I14" s="80">
        <f t="shared" si="1"/>
        <v>3328.4</v>
      </c>
      <c r="J14" s="80">
        <f t="shared" si="2"/>
        <v>36612.400000000001</v>
      </c>
      <c r="K14" s="80">
        <f t="shared" si="3"/>
        <v>13457.845026363972</v>
      </c>
      <c r="L14" s="97">
        <f t="shared" si="4"/>
        <v>50070.245026363977</v>
      </c>
      <c r="M14" s="6">
        <v>1189.939548022599</v>
      </c>
      <c r="N14" s="85">
        <f t="shared" si="5"/>
        <v>1.8972216096151174E-2</v>
      </c>
    </row>
    <row r="15" spans="1:14" ht="90" x14ac:dyDescent="0.25">
      <c r="A15" s="79"/>
      <c r="B15" s="92">
        <v>1500198</v>
      </c>
      <c r="C15" s="87">
        <f>SUM(C3:C14)</f>
        <v>62720.113559322032</v>
      </c>
      <c r="D15" s="79" t="s">
        <v>26</v>
      </c>
      <c r="E15" s="85" t="s">
        <v>33</v>
      </c>
      <c r="F15" s="79" t="s">
        <v>34</v>
      </c>
      <c r="G15" s="85"/>
      <c r="H15" s="79" t="s">
        <v>35</v>
      </c>
      <c r="I15" s="87" t="s">
        <v>36</v>
      </c>
      <c r="J15" s="93">
        <f>SUM(J3:J14)</f>
        <v>790853.08435284393</v>
      </c>
      <c r="K15" s="93">
        <f>(B15-J15)</f>
        <v>709344.91564715607</v>
      </c>
      <c r="L15" s="98">
        <f>SUM(J15:K15)</f>
        <v>1500198</v>
      </c>
      <c r="M15" s="87">
        <f>SUM(M3:M14)</f>
        <v>62720.113559322032</v>
      </c>
      <c r="N15" s="85">
        <f>SUM(N3:N14)</f>
        <v>1</v>
      </c>
    </row>
    <row r="16" spans="1:14" ht="120" x14ac:dyDescent="0.25">
      <c r="A16" s="79"/>
      <c r="B16" s="79"/>
      <c r="C16" s="87" t="s">
        <v>39</v>
      </c>
      <c r="D16" s="87"/>
      <c r="E16" s="85"/>
      <c r="F16" s="85"/>
      <c r="G16" s="85"/>
      <c r="H16" s="87"/>
      <c r="I16" s="87"/>
      <c r="J16" s="85">
        <f>(J15/L15)</f>
        <v>0.52716580368247656</v>
      </c>
      <c r="K16" s="94" t="s">
        <v>42</v>
      </c>
      <c r="L16" s="87"/>
      <c r="M16" s="87"/>
      <c r="N16" s="95"/>
    </row>
  </sheetData>
  <mergeCells count="1">
    <mergeCell ref="E1:I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608A3-B9FB-47C8-8D66-F1437DC8FAD6}">
  <sheetPr>
    <pageSetUpPr fitToPage="1"/>
  </sheetPr>
  <dimension ref="A1:N16"/>
  <sheetViews>
    <sheetView zoomScale="120" zoomScaleNormal="120" workbookViewId="0">
      <selection activeCell="E13" sqref="E13"/>
    </sheetView>
  </sheetViews>
  <sheetFormatPr defaultRowHeight="15" x14ac:dyDescent="0.25"/>
  <cols>
    <col min="1" max="1" width="21.140625" customWidth="1"/>
    <col min="2" max="2" width="14.7109375" customWidth="1"/>
    <col min="3" max="3" width="13.28515625" customWidth="1"/>
    <col min="4" max="4" width="11.85546875" customWidth="1"/>
    <col min="5" max="6" width="12.28515625" customWidth="1"/>
    <col min="7" max="7" width="12.85546875" customWidth="1"/>
    <col min="8" max="8" width="13.7109375" customWidth="1"/>
    <col min="9" max="9" width="12.7109375" customWidth="1"/>
    <col min="10" max="10" width="13.140625" customWidth="1"/>
    <col min="11" max="11" width="20.42578125" customWidth="1"/>
    <col min="12" max="12" width="20" customWidth="1"/>
    <col min="13" max="13" width="18.5703125" customWidth="1"/>
    <col min="14" max="14" width="16.140625" customWidth="1"/>
  </cols>
  <sheetData>
    <row r="1" spans="1:14" s="115" customFormat="1" ht="31.5" x14ac:dyDescent="0.25">
      <c r="A1" s="149"/>
      <c r="B1" s="108"/>
      <c r="C1" s="109" t="s">
        <v>58</v>
      </c>
      <c r="D1" s="152" t="s">
        <v>59</v>
      </c>
      <c r="E1" s="278" t="s">
        <v>25</v>
      </c>
      <c r="F1" s="279"/>
      <c r="G1" s="279"/>
      <c r="H1" s="279"/>
      <c r="I1" s="280"/>
      <c r="J1" s="109" t="s">
        <v>54</v>
      </c>
      <c r="K1" s="109" t="s">
        <v>55</v>
      </c>
      <c r="L1" s="111" t="s">
        <v>56</v>
      </c>
      <c r="M1" s="278" t="s">
        <v>41</v>
      </c>
      <c r="N1" s="280"/>
    </row>
    <row r="2" spans="1:14" s="115" customFormat="1" ht="63" x14ac:dyDescent="0.25">
      <c r="A2" s="110"/>
      <c r="B2" s="110" t="s">
        <v>160</v>
      </c>
      <c r="C2" s="108"/>
      <c r="D2" s="112"/>
      <c r="E2" s="110" t="s">
        <v>27</v>
      </c>
      <c r="F2" s="110" t="s">
        <v>28</v>
      </c>
      <c r="G2" s="110" t="s">
        <v>29</v>
      </c>
      <c r="H2" s="110" t="s">
        <v>30</v>
      </c>
      <c r="I2" s="110" t="s">
        <v>31</v>
      </c>
      <c r="J2" s="110" t="s">
        <v>19</v>
      </c>
      <c r="K2" s="110"/>
      <c r="L2" s="111"/>
      <c r="M2" s="110" t="s">
        <v>44</v>
      </c>
      <c r="N2" s="120" t="s">
        <v>43</v>
      </c>
    </row>
    <row r="3" spans="1:14" ht="15.75" x14ac:dyDescent="0.25">
      <c r="A3" s="5" t="s">
        <v>3</v>
      </c>
      <c r="B3" s="84"/>
      <c r="C3" s="6">
        <v>859.45762711864404</v>
      </c>
      <c r="D3" s="79">
        <v>1</v>
      </c>
      <c r="E3" s="79">
        <v>0.5</v>
      </c>
      <c r="F3" s="80">
        <v>41600</v>
      </c>
      <c r="G3" s="80">
        <f>(E3)*(F3)</f>
        <v>20800</v>
      </c>
      <c r="H3" s="80">
        <v>2000</v>
      </c>
      <c r="I3" s="80">
        <f>SUM(G3+H3)*0.1</f>
        <v>2280</v>
      </c>
      <c r="J3" s="80">
        <f>SUM(G3+H3+I3)</f>
        <v>25080</v>
      </c>
      <c r="K3" s="80">
        <f>($K$15*N3)</f>
        <v>8917.1732941932587</v>
      </c>
      <c r="L3" s="97">
        <f>SUM(J3:K3)</f>
        <v>33997.173294193257</v>
      </c>
      <c r="M3" s="6">
        <v>859.45762711864404</v>
      </c>
      <c r="N3" s="85">
        <f>(M3/$M$15)</f>
        <v>1.3703062356635412E-2</v>
      </c>
    </row>
    <row r="4" spans="1:14" ht="15.75" x14ac:dyDescent="0.25">
      <c r="A4" s="5" t="s">
        <v>4</v>
      </c>
      <c r="B4" s="84"/>
      <c r="C4" s="6">
        <v>1377.1785310734463</v>
      </c>
      <c r="D4" s="79">
        <v>2</v>
      </c>
      <c r="E4" s="79">
        <v>0.8</v>
      </c>
      <c r="F4" s="80">
        <v>41600</v>
      </c>
      <c r="G4" s="80">
        <f t="shared" ref="G4:G14" si="0">(E4)*(F4)</f>
        <v>33280</v>
      </c>
      <c r="H4" s="80">
        <v>2500</v>
      </c>
      <c r="I4" s="80">
        <f t="shared" ref="I4:I14" si="1">SUM(G4+H4)*0.1</f>
        <v>3578</v>
      </c>
      <c r="J4" s="80">
        <f t="shared" ref="J4:J14" si="2">SUM(G4+H4+I4)</f>
        <v>39358</v>
      </c>
      <c r="K4" s="80">
        <f t="shared" ref="K4:K14" si="3">($K$15*N4)</f>
        <v>14288.708635695388</v>
      </c>
      <c r="L4" s="97">
        <f t="shared" ref="L4:L14" si="4">SUM(J4:K4)</f>
        <v>53646.708635695388</v>
      </c>
      <c r="M4" s="6">
        <v>1377.1785310734463</v>
      </c>
      <c r="N4" s="85">
        <f>(M4/$M$15)</f>
        <v>2.1957526109561028E-2</v>
      </c>
    </row>
    <row r="5" spans="1:14" ht="15.75" x14ac:dyDescent="0.25">
      <c r="A5" s="5" t="s">
        <v>5</v>
      </c>
      <c r="B5" s="84"/>
      <c r="C5" s="6">
        <v>1098.8779661016949</v>
      </c>
      <c r="D5" s="87">
        <v>2</v>
      </c>
      <c r="E5" s="79">
        <v>0.8</v>
      </c>
      <c r="F5" s="80">
        <v>41600</v>
      </c>
      <c r="G5" s="80">
        <f t="shared" si="0"/>
        <v>33280</v>
      </c>
      <c r="H5" s="80">
        <v>2500</v>
      </c>
      <c r="I5" s="80">
        <f t="shared" si="1"/>
        <v>3578</v>
      </c>
      <c r="J5" s="80">
        <f t="shared" si="2"/>
        <v>39358</v>
      </c>
      <c r="K5" s="80">
        <f t="shared" si="3"/>
        <v>11401.242997575668</v>
      </c>
      <c r="L5" s="97">
        <f t="shared" si="4"/>
        <v>50759.242997575668</v>
      </c>
      <c r="M5" s="6">
        <v>1098.8779661016949</v>
      </c>
      <c r="N5" s="85">
        <f t="shared" ref="N5:N14" si="5">(M5/$M$15)</f>
        <v>1.7520344013126708E-2</v>
      </c>
    </row>
    <row r="6" spans="1:14" ht="15.75" x14ac:dyDescent="0.25">
      <c r="A6" s="5" t="s">
        <v>6</v>
      </c>
      <c r="B6" s="84"/>
      <c r="C6" s="6">
        <v>385.73276836158192</v>
      </c>
      <c r="D6" s="79">
        <v>1</v>
      </c>
      <c r="E6" s="79">
        <v>0.5</v>
      </c>
      <c r="F6" s="80">
        <v>41600</v>
      </c>
      <c r="G6" s="80">
        <f t="shared" si="0"/>
        <v>20800</v>
      </c>
      <c r="H6" s="80">
        <v>2000</v>
      </c>
      <c r="I6" s="80">
        <f t="shared" si="1"/>
        <v>2280</v>
      </c>
      <c r="J6" s="80">
        <f t="shared" si="2"/>
        <v>25080</v>
      </c>
      <c r="K6" s="80">
        <f t="shared" si="3"/>
        <v>4002.1122998938795</v>
      </c>
      <c r="L6" s="97">
        <f t="shared" si="4"/>
        <v>29082.112299893881</v>
      </c>
      <c r="M6" s="6">
        <v>385.73276836158192</v>
      </c>
      <c r="N6" s="85">
        <f t="shared" si="5"/>
        <v>6.1500648910137509E-3</v>
      </c>
    </row>
    <row r="7" spans="1:14" ht="15.75" x14ac:dyDescent="0.25">
      <c r="A7" s="5" t="s">
        <v>32</v>
      </c>
      <c r="B7" s="84"/>
      <c r="C7" s="89">
        <v>9136</v>
      </c>
      <c r="D7" s="79">
        <v>3</v>
      </c>
      <c r="E7" s="90">
        <v>0</v>
      </c>
      <c r="F7" s="80">
        <v>41600</v>
      </c>
      <c r="G7" s="80">
        <f t="shared" si="0"/>
        <v>0</v>
      </c>
      <c r="H7" s="80">
        <v>0</v>
      </c>
      <c r="I7" s="80">
        <f t="shared" si="1"/>
        <v>0</v>
      </c>
      <c r="J7" s="80">
        <f t="shared" si="2"/>
        <v>0</v>
      </c>
      <c r="K7" s="80">
        <f t="shared" si="3"/>
        <v>94789.193376375071</v>
      </c>
      <c r="L7" s="97">
        <f t="shared" si="4"/>
        <v>94789.193376375071</v>
      </c>
      <c r="M7" s="89">
        <v>9136</v>
      </c>
      <c r="N7" s="85">
        <f t="shared" si="5"/>
        <v>0.14566300157219861</v>
      </c>
    </row>
    <row r="8" spans="1:14" ht="15.75" x14ac:dyDescent="0.25">
      <c r="A8" s="5" t="s">
        <v>8</v>
      </c>
      <c r="B8" s="84"/>
      <c r="C8" s="6">
        <v>12099.93559322034</v>
      </c>
      <c r="D8" s="87">
        <v>3</v>
      </c>
      <c r="E8" s="192">
        <f>((C8/3000)*0.8)</f>
        <v>3.2266494915254245</v>
      </c>
      <c r="F8" s="80">
        <v>41600</v>
      </c>
      <c r="G8" s="274">
        <f t="shared" si="0"/>
        <v>134228.61884745766</v>
      </c>
      <c r="H8" s="80">
        <f t="shared" ref="H8:H9" si="6">((C8/2000)*2000)</f>
        <v>12099.93559322034</v>
      </c>
      <c r="I8" s="80">
        <f t="shared" si="1"/>
        <v>14632.855444067802</v>
      </c>
      <c r="J8" s="80">
        <f t="shared" si="2"/>
        <v>160961.40988474581</v>
      </c>
      <c r="K8" s="80">
        <f t="shared" si="3"/>
        <v>125541.0611632494</v>
      </c>
      <c r="L8" s="97">
        <f t="shared" si="4"/>
        <v>286502.4710479952</v>
      </c>
      <c r="M8" s="6">
        <v>12099.93559322034</v>
      </c>
      <c r="N8" s="85">
        <f t="shared" si="5"/>
        <v>0.19291954217806001</v>
      </c>
    </row>
    <row r="9" spans="1:14" ht="15.75" x14ac:dyDescent="0.25">
      <c r="A9" s="5" t="s">
        <v>9</v>
      </c>
      <c r="B9" s="84"/>
      <c r="C9" s="6">
        <v>22651.82429378531</v>
      </c>
      <c r="D9" s="87">
        <v>3</v>
      </c>
      <c r="E9" s="192">
        <f t="shared" ref="E9" si="7">((C9/3000)*0.8)</f>
        <v>6.0404864783427499</v>
      </c>
      <c r="F9" s="80">
        <v>41600</v>
      </c>
      <c r="G9" s="274">
        <f t="shared" si="0"/>
        <v>251284.23749905839</v>
      </c>
      <c r="H9" s="80">
        <f t="shared" si="6"/>
        <v>22651.82429378531</v>
      </c>
      <c r="I9" s="80">
        <f t="shared" si="1"/>
        <v>27393.606179284368</v>
      </c>
      <c r="J9" s="80">
        <f t="shared" si="2"/>
        <v>301329.66797212802</v>
      </c>
      <c r="K9" s="80">
        <f t="shared" si="3"/>
        <v>235020.59471445778</v>
      </c>
      <c r="L9" s="97">
        <f t="shared" si="4"/>
        <v>536350.26268658577</v>
      </c>
      <c r="M9" s="6">
        <v>22651.82429378531</v>
      </c>
      <c r="N9" s="85">
        <f t="shared" si="5"/>
        <v>0.36115725894470402</v>
      </c>
    </row>
    <row r="10" spans="1:14" ht="15.75" x14ac:dyDescent="0.25">
      <c r="A10" s="5" t="s">
        <v>10</v>
      </c>
      <c r="B10" s="84"/>
      <c r="C10" s="6">
        <v>2040.1887005649717</v>
      </c>
      <c r="D10" s="87">
        <v>2</v>
      </c>
      <c r="E10" s="79">
        <v>0.8</v>
      </c>
      <c r="F10" s="80">
        <v>41600</v>
      </c>
      <c r="G10" s="80">
        <f t="shared" si="0"/>
        <v>33280</v>
      </c>
      <c r="H10" s="80">
        <v>2500</v>
      </c>
      <c r="I10" s="80">
        <f t="shared" si="1"/>
        <v>3578</v>
      </c>
      <c r="J10" s="80">
        <f t="shared" si="2"/>
        <v>39358</v>
      </c>
      <c r="K10" s="80">
        <f t="shared" si="3"/>
        <v>21167.670891215901</v>
      </c>
      <c r="L10" s="97">
        <f t="shared" si="4"/>
        <v>60525.670891215901</v>
      </c>
      <c r="M10" s="6">
        <v>2040.1887005649717</v>
      </c>
      <c r="N10" s="85">
        <f t="shared" si="5"/>
        <v>3.2528459927536918E-2</v>
      </c>
    </row>
    <row r="11" spans="1:14" ht="15.75" x14ac:dyDescent="0.25">
      <c r="A11" s="153" t="s">
        <v>11</v>
      </c>
      <c r="B11" s="84"/>
      <c r="C11" s="147">
        <v>2912.9474576271186</v>
      </c>
      <c r="D11" s="154">
        <v>2</v>
      </c>
      <c r="E11" s="155">
        <v>0.8</v>
      </c>
      <c r="F11" s="156">
        <v>41600</v>
      </c>
      <c r="G11" s="156">
        <f t="shared" si="0"/>
        <v>33280</v>
      </c>
      <c r="H11" s="156">
        <v>2500</v>
      </c>
      <c r="I11" s="156">
        <f t="shared" si="1"/>
        <v>3578</v>
      </c>
      <c r="J11" s="156">
        <f t="shared" si="2"/>
        <v>39358</v>
      </c>
      <c r="K11" s="156">
        <f t="shared" si="3"/>
        <v>30222.848057819298</v>
      </c>
      <c r="L11" s="157">
        <f t="shared" si="4"/>
        <v>69580.848057819298</v>
      </c>
      <c r="M11" s="147">
        <v>2912.9474576271186</v>
      </c>
      <c r="N11" s="148">
        <f t="shared" si="5"/>
        <v>4.6443593487310739E-2</v>
      </c>
    </row>
    <row r="12" spans="1:14" ht="15.75" x14ac:dyDescent="0.25">
      <c r="A12" s="5" t="s">
        <v>12</v>
      </c>
      <c r="B12" s="84"/>
      <c r="C12" s="6">
        <v>313.08813559322033</v>
      </c>
      <c r="D12" s="87">
        <v>1</v>
      </c>
      <c r="E12" s="79">
        <v>0.5</v>
      </c>
      <c r="F12" s="80">
        <v>41600</v>
      </c>
      <c r="G12" s="80">
        <f t="shared" si="0"/>
        <v>20800</v>
      </c>
      <c r="H12" s="80">
        <v>2000</v>
      </c>
      <c r="I12" s="80">
        <f t="shared" si="1"/>
        <v>2280</v>
      </c>
      <c r="J12" s="80">
        <f t="shared" si="2"/>
        <v>25080</v>
      </c>
      <c r="K12" s="80">
        <f t="shared" si="3"/>
        <v>3248.3988428846869</v>
      </c>
      <c r="L12" s="97">
        <f t="shared" si="4"/>
        <v>28328.398842884686</v>
      </c>
      <c r="M12" s="6">
        <v>313.08813559322033</v>
      </c>
      <c r="N12" s="85">
        <f t="shared" si="5"/>
        <v>4.9918298584886141E-3</v>
      </c>
    </row>
    <row r="13" spans="1:14" ht="15.75" x14ac:dyDescent="0.25">
      <c r="A13" s="5" t="s">
        <v>13</v>
      </c>
      <c r="B13" s="91"/>
      <c r="C13" s="6">
        <v>8654.9429378531077</v>
      </c>
      <c r="D13" s="79">
        <v>3</v>
      </c>
      <c r="E13" s="192">
        <f>((C13/3000)*0.8)</f>
        <v>2.3079847834274956</v>
      </c>
      <c r="F13" s="80">
        <v>41600</v>
      </c>
      <c r="G13" s="274">
        <f t="shared" si="0"/>
        <v>96012.166990583821</v>
      </c>
      <c r="H13" s="80">
        <f>((C13/2000)*2000)</f>
        <v>8654.9429378531077</v>
      </c>
      <c r="I13" s="80">
        <f t="shared" si="1"/>
        <v>10466.710992843693</v>
      </c>
      <c r="J13" s="80">
        <f t="shared" si="2"/>
        <v>115133.82092128063</v>
      </c>
      <c r="K13" s="80">
        <f t="shared" si="3"/>
        <v>89798.058209024734</v>
      </c>
      <c r="L13" s="97">
        <f t="shared" si="4"/>
        <v>204931.87913030537</v>
      </c>
      <c r="M13" s="6">
        <v>8654.9429378531077</v>
      </c>
      <c r="N13" s="85">
        <f t="shared" si="5"/>
        <v>0.13799310056521305</v>
      </c>
    </row>
    <row r="14" spans="1:14" ht="15.75" x14ac:dyDescent="0.25">
      <c r="A14" s="5" t="s">
        <v>14</v>
      </c>
      <c r="B14" s="84"/>
      <c r="C14" s="6">
        <v>1189.939548022599</v>
      </c>
      <c r="D14" s="87">
        <v>2</v>
      </c>
      <c r="E14" s="79">
        <v>0.8</v>
      </c>
      <c r="F14" s="80">
        <v>41600</v>
      </c>
      <c r="G14" s="80">
        <f t="shared" si="0"/>
        <v>33280</v>
      </c>
      <c r="H14" s="80">
        <v>2500</v>
      </c>
      <c r="I14" s="80">
        <f t="shared" si="1"/>
        <v>3578</v>
      </c>
      <c r="J14" s="80">
        <f t="shared" si="2"/>
        <v>39358</v>
      </c>
      <c r="K14" s="80">
        <f t="shared" si="3"/>
        <v>12346.038739460429</v>
      </c>
      <c r="L14" s="97">
        <f t="shared" si="4"/>
        <v>51704.038739460433</v>
      </c>
      <c r="M14" s="6">
        <v>1189.939548022599</v>
      </c>
      <c r="N14" s="85">
        <f t="shared" si="5"/>
        <v>1.8972216096151174E-2</v>
      </c>
    </row>
    <row r="15" spans="1:14" ht="114.75" customHeight="1" x14ac:dyDescent="0.25">
      <c r="A15" s="79"/>
      <c r="B15" s="92">
        <v>1500198</v>
      </c>
      <c r="C15" s="87">
        <f>SUM(C3:C14)</f>
        <v>62720.113559322032</v>
      </c>
      <c r="D15" s="151" t="s">
        <v>26</v>
      </c>
      <c r="E15" s="85" t="s">
        <v>33</v>
      </c>
      <c r="F15" s="79" t="s">
        <v>57</v>
      </c>
      <c r="G15" s="85"/>
      <c r="H15" s="79" t="s">
        <v>152</v>
      </c>
      <c r="I15" s="87" t="s">
        <v>36</v>
      </c>
      <c r="J15" s="93">
        <f>SUM(J3:J14)</f>
        <v>849454.89877815451</v>
      </c>
      <c r="K15" s="93">
        <f>(B15-J15)</f>
        <v>650743.10122184549</v>
      </c>
      <c r="L15" s="98">
        <f>SUM(J15:K15)</f>
        <v>1500198</v>
      </c>
      <c r="M15" s="87">
        <f>SUM(M3:M14)</f>
        <v>62720.113559322032</v>
      </c>
      <c r="N15" s="85">
        <f>SUM(N3:N14)</f>
        <v>1</v>
      </c>
    </row>
    <row r="16" spans="1:14" ht="120" x14ac:dyDescent="0.25">
      <c r="A16" s="79"/>
      <c r="B16" s="79"/>
      <c r="C16" s="87" t="s">
        <v>39</v>
      </c>
      <c r="D16" s="87"/>
      <c r="E16" s="150" t="s">
        <v>135</v>
      </c>
      <c r="F16" s="85"/>
      <c r="G16" s="150" t="s">
        <v>164</v>
      </c>
      <c r="H16" s="87"/>
      <c r="I16" s="87"/>
      <c r="J16" s="85">
        <f>(J15/L15)</f>
        <v>0.56622852368697629</v>
      </c>
      <c r="K16" s="94" t="s">
        <v>42</v>
      </c>
      <c r="L16" s="87"/>
      <c r="M16" s="87"/>
      <c r="N16" s="95"/>
    </row>
  </sheetData>
  <mergeCells count="2">
    <mergeCell ref="E1:I1"/>
    <mergeCell ref="M1:N1"/>
  </mergeCells>
  <pageMargins left="0.7" right="0.7" top="0.75" bottom="0.75" header="0.3" footer="0.3"/>
  <pageSetup scale="5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0016A-266D-4F57-AF16-19CF3B36CAEF}">
  <sheetPr>
    <pageSetUpPr fitToPage="1"/>
  </sheetPr>
  <dimension ref="A1:P18"/>
  <sheetViews>
    <sheetView topLeftCell="C4" zoomScale="110" zoomScaleNormal="110" workbookViewId="0">
      <selection activeCell="I6" sqref="I6"/>
    </sheetView>
  </sheetViews>
  <sheetFormatPr defaultRowHeight="15" x14ac:dyDescent="0.25"/>
  <cols>
    <col min="1" max="1" width="19" customWidth="1"/>
    <col min="2" max="2" width="15" customWidth="1"/>
    <col min="3" max="3" width="14.5703125" customWidth="1"/>
    <col min="4" max="4" width="13.85546875" customWidth="1"/>
    <col min="5" max="5" width="16.7109375" customWidth="1"/>
    <col min="6" max="6" width="11.7109375" customWidth="1"/>
    <col min="7" max="7" width="13.42578125" customWidth="1"/>
    <col min="8" max="8" width="21.28515625" customWidth="1"/>
    <col min="9" max="9" width="11.5703125" customWidth="1"/>
    <col min="10" max="10" width="13.28515625" customWidth="1"/>
    <col min="11" max="11" width="20.28515625" customWidth="1"/>
    <col min="12" max="12" width="17.5703125" customWidth="1"/>
    <col min="13" max="13" width="13.28515625" customWidth="1"/>
    <col min="14" max="14" width="23.42578125" customWidth="1"/>
    <col min="16" max="16" width="14.85546875" customWidth="1"/>
    <col min="17" max="17" width="13.42578125" customWidth="1"/>
  </cols>
  <sheetData>
    <row r="1" spans="1:16" s="158" customFormat="1" ht="26.45" customHeight="1" x14ac:dyDescent="0.3">
      <c r="A1" s="129" t="s">
        <v>93</v>
      </c>
    </row>
    <row r="2" spans="1:16" ht="30" customHeight="1" x14ac:dyDescent="0.3">
      <c r="A2" s="129" t="s">
        <v>91</v>
      </c>
    </row>
    <row r="3" spans="1:16" ht="44.25" customHeight="1" x14ac:dyDescent="0.25">
      <c r="A3" s="149" t="s">
        <v>90</v>
      </c>
      <c r="B3" s="108"/>
      <c r="C3" s="109" t="s">
        <v>58</v>
      </c>
      <c r="D3" s="152" t="s">
        <v>59</v>
      </c>
      <c r="E3" s="278" t="s">
        <v>25</v>
      </c>
      <c r="F3" s="279"/>
      <c r="G3" s="279"/>
      <c r="H3" s="279"/>
      <c r="I3" s="280"/>
      <c r="J3" s="109" t="s">
        <v>54</v>
      </c>
      <c r="K3" s="109" t="s">
        <v>55</v>
      </c>
      <c r="L3" s="111" t="s">
        <v>56</v>
      </c>
      <c r="M3" s="278" t="s">
        <v>41</v>
      </c>
      <c r="N3" s="280"/>
    </row>
    <row r="4" spans="1:16" ht="63" customHeight="1" x14ac:dyDescent="0.25">
      <c r="A4" s="183"/>
      <c r="B4" s="183" t="s">
        <v>160</v>
      </c>
      <c r="C4" s="184"/>
      <c r="D4" s="184"/>
      <c r="E4" s="183" t="s">
        <v>27</v>
      </c>
      <c r="F4" s="183" t="s">
        <v>28</v>
      </c>
      <c r="G4" s="183" t="s">
        <v>29</v>
      </c>
      <c r="H4" s="183" t="s">
        <v>30</v>
      </c>
      <c r="I4" s="183" t="s">
        <v>31</v>
      </c>
      <c r="J4" s="183" t="s">
        <v>19</v>
      </c>
      <c r="K4" s="183"/>
      <c r="L4" s="185"/>
      <c r="M4" s="183" t="s">
        <v>44</v>
      </c>
      <c r="N4" s="186" t="s">
        <v>43</v>
      </c>
      <c r="P4" s="276" t="s">
        <v>168</v>
      </c>
    </row>
    <row r="5" spans="1:16" ht="15.75" x14ac:dyDescent="0.25">
      <c r="A5" s="167" t="s">
        <v>3</v>
      </c>
      <c r="B5" s="168"/>
      <c r="C5" s="169">
        <v>859.45762711864404</v>
      </c>
      <c r="D5" s="170">
        <v>1</v>
      </c>
      <c r="E5" s="171">
        <v>0.5</v>
      </c>
      <c r="F5" s="172">
        <v>41600</v>
      </c>
      <c r="G5" s="172">
        <f>(E5)*(F5)</f>
        <v>20800</v>
      </c>
      <c r="H5" s="172">
        <v>2000</v>
      </c>
      <c r="I5" s="172">
        <f>SUM(G5+H5)*0.1</f>
        <v>2280</v>
      </c>
      <c r="J5" s="172">
        <f>SUM(G5+H5+I5)</f>
        <v>25080</v>
      </c>
      <c r="K5" s="172">
        <f>($K$17*N5)</f>
        <v>8671.8823603740693</v>
      </c>
      <c r="L5" s="173">
        <f>SUM(J5:K5)</f>
        <v>33751.882360374068</v>
      </c>
      <c r="M5" s="169">
        <v>859.45762711864404</v>
      </c>
      <c r="N5" s="174">
        <f>(M5/$M$17)</f>
        <v>1.3703062356635412E-2</v>
      </c>
      <c r="O5" s="159"/>
      <c r="P5">
        <f>(L5/L17)</f>
        <v>2.2498285133278451E-2</v>
      </c>
    </row>
    <row r="6" spans="1:16" ht="15.75" x14ac:dyDescent="0.25">
      <c r="A6" s="167" t="s">
        <v>4</v>
      </c>
      <c r="B6" s="168"/>
      <c r="C6" s="169">
        <v>1377.1785310734463</v>
      </c>
      <c r="D6" s="170">
        <v>1</v>
      </c>
      <c r="E6" s="171">
        <v>0.8</v>
      </c>
      <c r="F6" s="172">
        <v>41600</v>
      </c>
      <c r="G6" s="172">
        <f t="shared" ref="G6:G16" si="0">(E6)*(F6)</f>
        <v>33280</v>
      </c>
      <c r="H6" s="172">
        <v>2500</v>
      </c>
      <c r="I6" s="172">
        <f t="shared" ref="I6:I16" si="1">SUM(G6+H6)*0.1</f>
        <v>3578</v>
      </c>
      <c r="J6" s="172">
        <f t="shared" ref="J6:J16" si="2">SUM(G6+H6+I6)</f>
        <v>39358</v>
      </c>
      <c r="K6" s="172">
        <f t="shared" ref="K6:K16" si="3">($K$17*N6)</f>
        <v>13895.659115551782</v>
      </c>
      <c r="L6" s="173">
        <f t="shared" ref="L6:L16" si="4">SUM(J6:K6)</f>
        <v>53253.659115551782</v>
      </c>
      <c r="M6" s="169">
        <v>1377.1785310734463</v>
      </c>
      <c r="N6" s="174">
        <f t="shared" ref="N6:N16" si="5">(M6/$M$17)</f>
        <v>2.1957526109561028E-2</v>
      </c>
      <c r="O6" s="159"/>
      <c r="P6">
        <f>(L6/L17)</f>
        <v>3.5497753706878549E-2</v>
      </c>
    </row>
    <row r="7" spans="1:16" ht="15.75" x14ac:dyDescent="0.25">
      <c r="A7" s="167" t="s">
        <v>5</v>
      </c>
      <c r="B7" s="168"/>
      <c r="C7" s="169">
        <v>1098.8779661016949</v>
      </c>
      <c r="D7" s="175">
        <v>1</v>
      </c>
      <c r="E7" s="171">
        <v>0.8</v>
      </c>
      <c r="F7" s="172">
        <v>41600</v>
      </c>
      <c r="G7" s="172">
        <f t="shared" si="0"/>
        <v>33280</v>
      </c>
      <c r="H7" s="172">
        <v>2500</v>
      </c>
      <c r="I7" s="172">
        <f t="shared" si="1"/>
        <v>3578</v>
      </c>
      <c r="J7" s="172">
        <f t="shared" si="2"/>
        <v>39358</v>
      </c>
      <c r="K7" s="172">
        <f t="shared" si="3"/>
        <v>11087.621017906848</v>
      </c>
      <c r="L7" s="173">
        <f t="shared" si="4"/>
        <v>50445.621017906844</v>
      </c>
      <c r="M7" s="169">
        <v>1098.8779661016949</v>
      </c>
      <c r="N7" s="174">
        <f t="shared" si="5"/>
        <v>1.7520344013126708E-2</v>
      </c>
      <c r="O7" s="159"/>
      <c r="P7">
        <f>(L7/L17)</f>
        <v>3.3625975383187318E-2</v>
      </c>
    </row>
    <row r="8" spans="1:16" ht="15.75" x14ac:dyDescent="0.25">
      <c r="A8" s="167" t="s">
        <v>6</v>
      </c>
      <c r="B8" s="168"/>
      <c r="C8" s="169">
        <v>385.73276836158192</v>
      </c>
      <c r="D8" s="170">
        <v>1</v>
      </c>
      <c r="E8" s="171">
        <v>0.5</v>
      </c>
      <c r="F8" s="172">
        <v>41600</v>
      </c>
      <c r="G8" s="172">
        <f t="shared" si="0"/>
        <v>20800</v>
      </c>
      <c r="H8" s="172">
        <v>2000</v>
      </c>
      <c r="I8" s="172">
        <f t="shared" si="1"/>
        <v>2280</v>
      </c>
      <c r="J8" s="172">
        <f t="shared" si="2"/>
        <v>25080</v>
      </c>
      <c r="K8" s="172">
        <f t="shared" si="3"/>
        <v>3892.0233926916953</v>
      </c>
      <c r="L8" s="173">
        <f t="shared" si="4"/>
        <v>28972.023392691695</v>
      </c>
      <c r="M8" s="169">
        <v>385.73276836158192</v>
      </c>
      <c r="N8" s="174">
        <f t="shared" si="5"/>
        <v>6.1500648910137509E-3</v>
      </c>
      <c r="O8" s="159"/>
      <c r="P8">
        <f>(L8/L17)</f>
        <v>1.9312133060230514E-2</v>
      </c>
    </row>
    <row r="9" spans="1:16" ht="15.75" x14ac:dyDescent="0.25">
      <c r="A9" s="167" t="s">
        <v>32</v>
      </c>
      <c r="B9" s="168"/>
      <c r="C9" s="176">
        <v>9136</v>
      </c>
      <c r="D9" s="170">
        <v>2</v>
      </c>
      <c r="E9" s="171">
        <v>0</v>
      </c>
      <c r="F9" s="172">
        <v>41600</v>
      </c>
      <c r="G9" s="172">
        <f t="shared" si="0"/>
        <v>0</v>
      </c>
      <c r="H9" s="172">
        <v>0</v>
      </c>
      <c r="I9" s="172">
        <f t="shared" si="1"/>
        <v>0</v>
      </c>
      <c r="J9" s="172">
        <f t="shared" si="2"/>
        <v>0</v>
      </c>
      <c r="K9" s="172">
        <f t="shared" si="3"/>
        <v>92181.760618014363</v>
      </c>
      <c r="L9" s="173">
        <f t="shared" si="4"/>
        <v>92181.760618014363</v>
      </c>
      <c r="M9" s="176">
        <v>9136</v>
      </c>
      <c r="N9" s="174">
        <f t="shared" si="5"/>
        <v>0.14566300157219861</v>
      </c>
      <c r="O9" s="159"/>
      <c r="P9">
        <f>(L9/L17)</f>
        <v>6.144639615438386E-2</v>
      </c>
    </row>
    <row r="10" spans="1:16" ht="15.75" x14ac:dyDescent="0.25">
      <c r="A10" s="167" t="s">
        <v>8</v>
      </c>
      <c r="B10" s="168"/>
      <c r="C10" s="169">
        <v>12099.93559322034</v>
      </c>
      <c r="D10" s="175">
        <v>2</v>
      </c>
      <c r="E10" s="282">
        <f>((C10/3000)*0.8)</f>
        <v>3.2266494915254245</v>
      </c>
      <c r="F10" s="172">
        <v>41600</v>
      </c>
      <c r="G10" s="275">
        <f t="shared" si="0"/>
        <v>134228.61884745766</v>
      </c>
      <c r="H10" s="172">
        <f>(C10*1)</f>
        <v>12099.93559322034</v>
      </c>
      <c r="I10" s="172">
        <f t="shared" si="1"/>
        <v>14632.855444067802</v>
      </c>
      <c r="J10" s="172">
        <f t="shared" si="2"/>
        <v>160961.40988474581</v>
      </c>
      <c r="K10" s="172">
        <f t="shared" si="3"/>
        <v>122087.71523069494</v>
      </c>
      <c r="L10" s="173">
        <f t="shared" si="4"/>
        <v>283049.12511544075</v>
      </c>
      <c r="M10" s="169">
        <v>12099.93559322034</v>
      </c>
      <c r="N10" s="174">
        <f t="shared" si="5"/>
        <v>0.19291954217806001</v>
      </c>
      <c r="O10" s="159"/>
      <c r="P10">
        <f>(L10/L17)</f>
        <v>0.18867451170808169</v>
      </c>
    </row>
    <row r="11" spans="1:16" ht="15.75" x14ac:dyDescent="0.25">
      <c r="A11" s="167" t="s">
        <v>9</v>
      </c>
      <c r="B11" s="168"/>
      <c r="C11" s="169">
        <v>22651.82429378531</v>
      </c>
      <c r="D11" s="175">
        <v>2</v>
      </c>
      <c r="E11" s="282">
        <f>((C11/3000)*0.8)</f>
        <v>6.0404864783427499</v>
      </c>
      <c r="F11" s="172">
        <v>41600</v>
      </c>
      <c r="G11" s="275">
        <f t="shared" si="0"/>
        <v>251284.23749905839</v>
      </c>
      <c r="H11" s="172">
        <f>(C11*1)</f>
        <v>22651.82429378531</v>
      </c>
      <c r="I11" s="172">
        <f t="shared" si="1"/>
        <v>27393.606179284368</v>
      </c>
      <c r="J11" s="172">
        <f t="shared" si="2"/>
        <v>301329.66797212802</v>
      </c>
      <c r="K11" s="172">
        <f t="shared" si="3"/>
        <v>228555.7185432399</v>
      </c>
      <c r="L11" s="173">
        <f t="shared" si="4"/>
        <v>529885.38651536789</v>
      </c>
      <c r="M11" s="169">
        <v>22651.82429378531</v>
      </c>
      <c r="N11" s="174">
        <f t="shared" si="5"/>
        <v>0.36115725894470402</v>
      </c>
      <c r="O11" s="159"/>
      <c r="P11">
        <f>(L11/L17)</f>
        <v>0.35321030058390152</v>
      </c>
    </row>
    <row r="12" spans="1:16" ht="15.75" x14ac:dyDescent="0.25">
      <c r="A12" s="167" t="s">
        <v>10</v>
      </c>
      <c r="B12" s="168"/>
      <c r="C12" s="169">
        <v>2040.1887005649717</v>
      </c>
      <c r="D12" s="175">
        <v>2</v>
      </c>
      <c r="E12" s="282">
        <f t="shared" ref="E12" si="6">((C12/2000)*0.8)</f>
        <v>0.81607548022598864</v>
      </c>
      <c r="F12" s="172">
        <v>41600</v>
      </c>
      <c r="G12" s="275">
        <f t="shared" si="0"/>
        <v>33948.739977401128</v>
      </c>
      <c r="H12" s="172">
        <v>2500</v>
      </c>
      <c r="I12" s="172">
        <f t="shared" si="1"/>
        <v>3644.8739977401128</v>
      </c>
      <c r="J12" s="172">
        <f t="shared" si="2"/>
        <v>40093.613975141241</v>
      </c>
      <c r="K12" s="172">
        <f t="shared" si="3"/>
        <v>20585.396936411777</v>
      </c>
      <c r="L12" s="173">
        <f t="shared" si="4"/>
        <v>60679.010911553021</v>
      </c>
      <c r="M12" s="169">
        <v>2040.1887005649717</v>
      </c>
      <c r="N12" s="174">
        <f t="shared" si="5"/>
        <v>3.2528459927536918E-2</v>
      </c>
      <c r="P12">
        <f>(L12/L17)</f>
        <v>4.0447334892829492E-2</v>
      </c>
    </row>
    <row r="13" spans="1:16" ht="15.75" x14ac:dyDescent="0.25">
      <c r="A13" s="177" t="s">
        <v>11</v>
      </c>
      <c r="B13" s="168"/>
      <c r="C13" s="178">
        <v>2912.9474576271186</v>
      </c>
      <c r="D13" s="179">
        <v>2</v>
      </c>
      <c r="E13" s="282">
        <f>((C13/2000)*0.8)</f>
        <v>1.1651789830508477</v>
      </c>
      <c r="F13" s="180">
        <v>41600</v>
      </c>
      <c r="G13" s="275">
        <f t="shared" si="0"/>
        <v>48471.445694915259</v>
      </c>
      <c r="H13" s="180">
        <f>(C13*1)</f>
        <v>2912.9474576271186</v>
      </c>
      <c r="I13" s="180">
        <f t="shared" si="1"/>
        <v>5138.439315254238</v>
      </c>
      <c r="J13" s="180">
        <f t="shared" si="2"/>
        <v>56522.832467796616</v>
      </c>
      <c r="K13" s="172">
        <f>($K$17*N13)</f>
        <v>29391.486999982113</v>
      </c>
      <c r="L13" s="181">
        <f t="shared" si="4"/>
        <v>85914.319467778725</v>
      </c>
      <c r="M13" s="178">
        <v>2912.9474576271186</v>
      </c>
      <c r="N13" s="174">
        <f t="shared" si="5"/>
        <v>4.6443593487310739E-2</v>
      </c>
      <c r="P13">
        <f>(L13/L17)</f>
        <v>5.7268653516255007E-2</v>
      </c>
    </row>
    <row r="14" spans="1:16" ht="15.75" x14ac:dyDescent="0.25">
      <c r="A14" s="167" t="s">
        <v>12</v>
      </c>
      <c r="B14" s="168"/>
      <c r="C14" s="169">
        <v>313.08813559322033</v>
      </c>
      <c r="D14" s="175">
        <v>1</v>
      </c>
      <c r="E14" s="171">
        <v>0.5</v>
      </c>
      <c r="F14" s="172">
        <v>41600</v>
      </c>
      <c r="G14" s="172">
        <f t="shared" si="0"/>
        <v>20800</v>
      </c>
      <c r="H14" s="172">
        <v>2000</v>
      </c>
      <c r="I14" s="172">
        <f t="shared" si="1"/>
        <v>2280</v>
      </c>
      <c r="J14" s="172">
        <f t="shared" si="2"/>
        <v>25080</v>
      </c>
      <c r="K14" s="172">
        <f t="shared" si="3"/>
        <v>3159.0428598505537</v>
      </c>
      <c r="L14" s="173">
        <f t="shared" si="4"/>
        <v>28239.042859850553</v>
      </c>
      <c r="M14" s="169">
        <v>313.08813559322033</v>
      </c>
      <c r="N14" s="174">
        <f t="shared" si="5"/>
        <v>4.9918298584886141E-3</v>
      </c>
      <c r="P14">
        <f>(L14/L17)</f>
        <v>1.8823543865443465E-2</v>
      </c>
    </row>
    <row r="15" spans="1:16" ht="15.75" x14ac:dyDescent="0.25">
      <c r="A15" s="167" t="s">
        <v>13</v>
      </c>
      <c r="B15" s="182"/>
      <c r="C15" s="169">
        <v>8654.9429378531077</v>
      </c>
      <c r="D15" s="170">
        <v>2</v>
      </c>
      <c r="E15" s="282">
        <f>((C15/3000)*0.8)</f>
        <v>2.3079847834274956</v>
      </c>
      <c r="F15" s="172">
        <v>41600</v>
      </c>
      <c r="G15" s="275">
        <f>(E15)*(F15)</f>
        <v>96012.166990583821</v>
      </c>
      <c r="H15" s="172">
        <f>(C15*1)</f>
        <v>8654.9429378531077</v>
      </c>
      <c r="I15" s="172">
        <f t="shared" si="1"/>
        <v>10466.710992843693</v>
      </c>
      <c r="J15" s="172">
        <f t="shared" si="2"/>
        <v>115133.82092128063</v>
      </c>
      <c r="K15" s="172">
        <f t="shared" si="3"/>
        <v>87327.920102862205</v>
      </c>
      <c r="L15" s="173">
        <f t="shared" si="4"/>
        <v>202461.74102414283</v>
      </c>
      <c r="M15" s="169">
        <v>8654.9429378531077</v>
      </c>
      <c r="N15" s="174">
        <f t="shared" si="5"/>
        <v>0.13799310056521305</v>
      </c>
      <c r="P15">
        <f>(L15/L17)</f>
        <v>0.13495667973437028</v>
      </c>
    </row>
    <row r="16" spans="1:16" ht="15.75" x14ac:dyDescent="0.25">
      <c r="A16" s="167" t="s">
        <v>14</v>
      </c>
      <c r="B16" s="168"/>
      <c r="C16" s="169">
        <v>1189.939548022599</v>
      </c>
      <c r="D16" s="175">
        <v>1</v>
      </c>
      <c r="E16" s="171">
        <v>0.8</v>
      </c>
      <c r="F16" s="172">
        <v>41600</v>
      </c>
      <c r="G16" s="172">
        <f t="shared" si="0"/>
        <v>33280</v>
      </c>
      <c r="H16" s="172">
        <v>2500</v>
      </c>
      <c r="I16" s="172">
        <f t="shared" si="1"/>
        <v>3578</v>
      </c>
      <c r="J16" s="172">
        <f t="shared" si="2"/>
        <v>39358</v>
      </c>
      <c r="K16" s="172">
        <f t="shared" si="3"/>
        <v>12006.427601327432</v>
      </c>
      <c r="L16" s="173">
        <f t="shared" si="4"/>
        <v>51364.427601327436</v>
      </c>
      <c r="M16" s="169">
        <v>1189.939548022599</v>
      </c>
      <c r="N16" s="174">
        <f t="shared" si="5"/>
        <v>1.8972216096151174E-2</v>
      </c>
      <c r="P16">
        <f>(L16/L17)</f>
        <v>3.4238432261159815E-2</v>
      </c>
    </row>
    <row r="17" spans="1:14" ht="139.5" customHeight="1" x14ac:dyDescent="0.25">
      <c r="A17" s="160"/>
      <c r="B17" s="161">
        <v>1500198</v>
      </c>
      <c r="C17" s="99">
        <f>SUM(C5:C16)</f>
        <v>62720.113559322032</v>
      </c>
      <c r="D17" s="162" t="s">
        <v>92</v>
      </c>
      <c r="E17" s="163" t="s">
        <v>167</v>
      </c>
      <c r="F17" s="160" t="s">
        <v>57</v>
      </c>
      <c r="G17" s="100"/>
      <c r="H17" s="164" t="s">
        <v>166</v>
      </c>
      <c r="I17" s="99" t="s">
        <v>36</v>
      </c>
      <c r="J17" s="165">
        <f>SUM(J5:J16)</f>
        <v>867355.34522109234</v>
      </c>
      <c r="K17" s="165">
        <f>(B17-J17)</f>
        <v>632842.65477890766</v>
      </c>
      <c r="L17" s="166">
        <f>SUM(J17:K17)</f>
        <v>1500198</v>
      </c>
      <c r="M17" s="99">
        <f>SUM(M5:M16)</f>
        <v>62720.113559322032</v>
      </c>
      <c r="N17" s="100">
        <f>SUM(N5:N16)</f>
        <v>1</v>
      </c>
    </row>
    <row r="18" spans="1:14" ht="121.9" customHeight="1" x14ac:dyDescent="0.25">
      <c r="A18" s="79"/>
      <c r="B18" s="79"/>
      <c r="C18" s="87" t="s">
        <v>39</v>
      </c>
      <c r="D18" s="87"/>
      <c r="E18" s="150" t="s">
        <v>134</v>
      </c>
      <c r="F18" s="85"/>
      <c r="G18" s="85"/>
      <c r="H18" s="87"/>
      <c r="I18" s="87"/>
      <c r="J18" s="85">
        <f>(J17/L17)</f>
        <v>0.57816057961755207</v>
      </c>
      <c r="K18" s="94" t="s">
        <v>42</v>
      </c>
      <c r="L18" s="87"/>
      <c r="M18" s="87"/>
      <c r="N18" s="95"/>
    </row>
  </sheetData>
  <mergeCells count="2">
    <mergeCell ref="E3:I3"/>
    <mergeCell ref="M3:N3"/>
  </mergeCells>
  <pageMargins left="0.7" right="0.7" top="0.75" bottom="0.75" header="0.3" footer="0.3"/>
  <pageSetup scale="5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78DB0-AF39-48A4-A8CC-63CBB631C0A9}">
  <sheetPr>
    <pageSetUpPr fitToPage="1"/>
  </sheetPr>
  <dimension ref="A1:N16"/>
  <sheetViews>
    <sheetView tabSelected="1" zoomScaleNormal="100" workbookViewId="0">
      <selection activeCell="E3" sqref="E3"/>
    </sheetView>
  </sheetViews>
  <sheetFormatPr defaultRowHeight="15" x14ac:dyDescent="0.25"/>
  <cols>
    <col min="1" max="1" width="17.7109375" customWidth="1"/>
    <col min="2" max="2" width="14.140625" customWidth="1"/>
    <col min="3" max="3" width="12.5703125" customWidth="1"/>
    <col min="4" max="4" width="16.85546875" customWidth="1"/>
    <col min="5" max="5" width="12.85546875" customWidth="1"/>
    <col min="6" max="6" width="10.42578125" customWidth="1"/>
    <col min="7" max="7" width="12.7109375" customWidth="1"/>
    <col min="8" max="8" width="14.42578125" customWidth="1"/>
    <col min="9" max="9" width="13" customWidth="1"/>
    <col min="10" max="10" width="15.42578125" customWidth="1"/>
    <col min="11" max="11" width="19.7109375" customWidth="1"/>
    <col min="12" max="12" width="16.7109375" customWidth="1"/>
    <col min="13" max="13" width="12.140625" customWidth="1"/>
    <col min="14" max="14" width="27.28515625" customWidth="1"/>
  </cols>
  <sheetData>
    <row r="1" spans="1:14" ht="48" customHeight="1" x14ac:dyDescent="0.25">
      <c r="A1" s="149" t="s">
        <v>75</v>
      </c>
      <c r="B1" s="108"/>
      <c r="C1" s="109" t="s">
        <v>58</v>
      </c>
      <c r="D1" s="152" t="s">
        <v>59</v>
      </c>
      <c r="E1" s="278" t="s">
        <v>25</v>
      </c>
      <c r="F1" s="279"/>
      <c r="G1" s="279"/>
      <c r="H1" s="279"/>
      <c r="I1" s="280"/>
      <c r="J1" s="109" t="s">
        <v>54</v>
      </c>
      <c r="K1" s="109" t="s">
        <v>55</v>
      </c>
      <c r="L1" s="111" t="s">
        <v>56</v>
      </c>
      <c r="M1" s="278" t="s">
        <v>41</v>
      </c>
      <c r="N1" s="280"/>
    </row>
    <row r="2" spans="1:14" ht="74.25" customHeight="1" x14ac:dyDescent="0.25">
      <c r="A2" s="110"/>
      <c r="B2" s="110" t="s">
        <v>160</v>
      </c>
      <c r="C2" s="108"/>
      <c r="D2" s="112"/>
      <c r="E2" s="110" t="s">
        <v>27</v>
      </c>
      <c r="F2" s="110" t="s">
        <v>28</v>
      </c>
      <c r="G2" s="110" t="s">
        <v>29</v>
      </c>
      <c r="H2" s="110" t="s">
        <v>30</v>
      </c>
      <c r="I2" s="110" t="s">
        <v>31</v>
      </c>
      <c r="J2" s="110" t="s">
        <v>19</v>
      </c>
      <c r="K2" s="110"/>
      <c r="L2" s="111"/>
      <c r="M2" s="110" t="s">
        <v>44</v>
      </c>
      <c r="N2" s="120" t="s">
        <v>43</v>
      </c>
    </row>
    <row r="3" spans="1:14" ht="15.75" x14ac:dyDescent="0.25">
      <c r="A3" s="5" t="s">
        <v>3</v>
      </c>
      <c r="B3" s="84"/>
      <c r="C3" s="6">
        <v>859.45762711864404</v>
      </c>
      <c r="D3" s="79">
        <v>1</v>
      </c>
      <c r="E3" s="79">
        <v>0.5</v>
      </c>
      <c r="F3" s="80">
        <v>41600</v>
      </c>
      <c r="G3" s="80">
        <f>(E3)*(F3)</f>
        <v>20800</v>
      </c>
      <c r="H3" s="80">
        <v>2000</v>
      </c>
      <c r="I3" s="80">
        <f>SUM(G3+H3)*0.1</f>
        <v>2280</v>
      </c>
      <c r="J3" s="80">
        <f>SUM(G3+H3+I3)</f>
        <v>25080</v>
      </c>
      <c r="K3" s="80">
        <f>($K$15*N3)</f>
        <v>6845.5768907854726</v>
      </c>
      <c r="L3" s="97">
        <f>SUM(J3:K3)</f>
        <v>31925.576890785473</v>
      </c>
      <c r="M3" s="6">
        <v>859.45762711864404</v>
      </c>
      <c r="N3" s="85">
        <f>(M3/$M$15)</f>
        <v>1.3703062356635412E-2</v>
      </c>
    </row>
    <row r="4" spans="1:14" ht="15.75" x14ac:dyDescent="0.25">
      <c r="A4" s="5" t="s">
        <v>4</v>
      </c>
      <c r="B4" s="84"/>
      <c r="C4" s="6">
        <v>1377.1785310734463</v>
      </c>
      <c r="D4" s="79">
        <v>2</v>
      </c>
      <c r="E4" s="79">
        <v>0.8</v>
      </c>
      <c r="F4" s="80">
        <v>41600</v>
      </c>
      <c r="G4" s="80">
        <f t="shared" ref="G4:G14" si="0">(E4)*(F4)</f>
        <v>33280</v>
      </c>
      <c r="H4" s="80">
        <v>2500</v>
      </c>
      <c r="I4" s="80">
        <f t="shared" ref="I4:I14" si="1">SUM(G4+H4)*0.1</f>
        <v>3578</v>
      </c>
      <c r="J4" s="80">
        <f t="shared" ref="J4:J14" si="2">SUM(G4+H4+I4)</f>
        <v>39358</v>
      </c>
      <c r="K4" s="80">
        <f t="shared" ref="K4:K14" si="3">($K$15*N4)</f>
        <v>10969.222017853863</v>
      </c>
      <c r="L4" s="97">
        <f t="shared" ref="L4:L14" si="4">SUM(J4:K4)</f>
        <v>50327.222017853863</v>
      </c>
      <c r="M4" s="6">
        <v>1377.1785310734463</v>
      </c>
      <c r="N4" s="85">
        <f>(M4/$M$15)</f>
        <v>2.1957526109561028E-2</v>
      </c>
    </row>
    <row r="5" spans="1:14" ht="15.75" x14ac:dyDescent="0.25">
      <c r="A5" s="5" t="s">
        <v>5</v>
      </c>
      <c r="B5" s="84"/>
      <c r="C5" s="6">
        <v>1098.8779661016949</v>
      </c>
      <c r="D5" s="87">
        <v>2</v>
      </c>
      <c r="E5" s="79">
        <v>0.8</v>
      </c>
      <c r="F5" s="80">
        <v>41600</v>
      </c>
      <c r="G5" s="80">
        <f t="shared" si="0"/>
        <v>33280</v>
      </c>
      <c r="H5" s="80">
        <v>2500</v>
      </c>
      <c r="I5" s="80">
        <f t="shared" si="1"/>
        <v>3578</v>
      </c>
      <c r="J5" s="80">
        <f t="shared" si="2"/>
        <v>39358</v>
      </c>
      <c r="K5" s="80">
        <f t="shared" si="3"/>
        <v>8752.5590246471402</v>
      </c>
      <c r="L5" s="97">
        <f t="shared" si="4"/>
        <v>48110.55902464714</v>
      </c>
      <c r="M5" s="6">
        <v>1098.8779661016949</v>
      </c>
      <c r="N5" s="85">
        <f t="shared" ref="N5:N14" si="5">(M5/$M$15)</f>
        <v>1.7520344013126708E-2</v>
      </c>
    </row>
    <row r="6" spans="1:14" ht="15.75" x14ac:dyDescent="0.25">
      <c r="A6" s="5" t="s">
        <v>6</v>
      </c>
      <c r="B6" s="84"/>
      <c r="C6" s="6">
        <v>385.73276836158192</v>
      </c>
      <c r="D6" s="79">
        <v>1</v>
      </c>
      <c r="E6" s="79">
        <v>0.5</v>
      </c>
      <c r="F6" s="80">
        <v>41600</v>
      </c>
      <c r="G6" s="80">
        <f t="shared" si="0"/>
        <v>20800</v>
      </c>
      <c r="H6" s="80">
        <v>2000</v>
      </c>
      <c r="I6" s="80">
        <f t="shared" si="1"/>
        <v>2280</v>
      </c>
      <c r="J6" s="80">
        <f t="shared" si="2"/>
        <v>25080</v>
      </c>
      <c r="K6" s="80">
        <f t="shared" si="3"/>
        <v>3072.3601045549085</v>
      </c>
      <c r="L6" s="97">
        <f t="shared" si="4"/>
        <v>28152.360104554908</v>
      </c>
      <c r="M6" s="6">
        <v>385.73276836158192</v>
      </c>
      <c r="N6" s="85">
        <f t="shared" si="5"/>
        <v>6.1500648910137509E-3</v>
      </c>
    </row>
    <row r="7" spans="1:14" ht="15.75" x14ac:dyDescent="0.25">
      <c r="A7" s="5" t="s">
        <v>32</v>
      </c>
      <c r="B7" s="84"/>
      <c r="C7" s="89">
        <v>9136</v>
      </c>
      <c r="D7" s="79">
        <v>4</v>
      </c>
      <c r="E7" s="90">
        <v>0</v>
      </c>
      <c r="F7" s="80">
        <v>41600</v>
      </c>
      <c r="G7" s="80">
        <f t="shared" si="0"/>
        <v>0</v>
      </c>
      <c r="H7" s="80">
        <v>0</v>
      </c>
      <c r="I7" s="80">
        <f t="shared" si="1"/>
        <v>0</v>
      </c>
      <c r="J7" s="80">
        <f t="shared" si="2"/>
        <v>0</v>
      </c>
      <c r="K7" s="80">
        <f t="shared" si="3"/>
        <v>72768.206949174666</v>
      </c>
      <c r="L7" s="97">
        <f t="shared" si="4"/>
        <v>72768.206949174666</v>
      </c>
      <c r="M7" s="89">
        <v>9136</v>
      </c>
      <c r="N7" s="85">
        <f t="shared" si="5"/>
        <v>0.14566300157219861</v>
      </c>
    </row>
    <row r="8" spans="1:14" ht="15.75" x14ac:dyDescent="0.25">
      <c r="A8" s="5" t="s">
        <v>8</v>
      </c>
      <c r="B8" s="84"/>
      <c r="C8" s="6">
        <v>12099.93559322034</v>
      </c>
      <c r="D8" s="87">
        <v>4</v>
      </c>
      <c r="E8" s="188">
        <f>((C8/3000)*1)</f>
        <v>4.0333118644067802</v>
      </c>
      <c r="F8" s="80">
        <v>41600</v>
      </c>
      <c r="G8" s="80">
        <f t="shared" si="0"/>
        <v>167785.77355932206</v>
      </c>
      <c r="H8" s="80">
        <f>(C8*1)</f>
        <v>12099.93559322034</v>
      </c>
      <c r="I8" s="80">
        <f t="shared" si="1"/>
        <v>17988.57091525424</v>
      </c>
      <c r="J8" s="80">
        <f t="shared" si="2"/>
        <v>197874.28006779664</v>
      </c>
      <c r="K8" s="80">
        <f t="shared" si="3"/>
        <v>96375.943226701202</v>
      </c>
      <c r="L8" s="97">
        <f t="shared" si="4"/>
        <v>294250.22329449782</v>
      </c>
      <c r="M8" s="6">
        <v>12099.93559322034</v>
      </c>
      <c r="N8" s="85">
        <f t="shared" si="5"/>
        <v>0.19291954217806001</v>
      </c>
    </row>
    <row r="9" spans="1:14" ht="15.75" x14ac:dyDescent="0.25">
      <c r="A9" s="5" t="s">
        <v>9</v>
      </c>
      <c r="B9" s="84"/>
      <c r="C9" s="6">
        <v>22651.82429378531</v>
      </c>
      <c r="D9" s="87">
        <v>4</v>
      </c>
      <c r="E9" s="188">
        <f>((C9/3000)*1)</f>
        <v>7.5506080979284365</v>
      </c>
      <c r="F9" s="80">
        <v>41600</v>
      </c>
      <c r="G9" s="80">
        <f t="shared" si="0"/>
        <v>314105.29687382298</v>
      </c>
      <c r="H9" s="80">
        <f>(C9*1)</f>
        <v>22651.82429378531</v>
      </c>
      <c r="I9" s="80">
        <f t="shared" si="1"/>
        <v>33675.712116760835</v>
      </c>
      <c r="J9" s="80">
        <f t="shared" si="2"/>
        <v>370432.83328436915</v>
      </c>
      <c r="K9" s="80">
        <f t="shared" si="3"/>
        <v>180421.69855368996</v>
      </c>
      <c r="L9" s="97">
        <f t="shared" si="4"/>
        <v>550854.53183805908</v>
      </c>
      <c r="M9" s="6">
        <v>22651.82429378531</v>
      </c>
      <c r="N9" s="85">
        <f t="shared" si="5"/>
        <v>0.36115725894470402</v>
      </c>
    </row>
    <row r="10" spans="1:14" ht="15.75" x14ac:dyDescent="0.25">
      <c r="A10" s="5" t="s">
        <v>10</v>
      </c>
      <c r="B10" s="84"/>
      <c r="C10" s="6">
        <v>2040.1887005649717</v>
      </c>
      <c r="D10" s="87">
        <v>3</v>
      </c>
      <c r="E10" s="79">
        <v>1</v>
      </c>
      <c r="F10" s="80">
        <v>41600</v>
      </c>
      <c r="G10" s="80">
        <f t="shared" si="0"/>
        <v>41600</v>
      </c>
      <c r="H10" s="80">
        <v>2500</v>
      </c>
      <c r="I10" s="80">
        <f t="shared" si="1"/>
        <v>4410</v>
      </c>
      <c r="J10" s="80">
        <f t="shared" si="2"/>
        <v>48510</v>
      </c>
      <c r="K10" s="80">
        <f t="shared" si="3"/>
        <v>16250.095619316942</v>
      </c>
      <c r="L10" s="97">
        <f t="shared" si="4"/>
        <v>64760.09561931694</v>
      </c>
      <c r="M10" s="6">
        <v>2040.1887005649717</v>
      </c>
      <c r="N10" s="85">
        <f t="shared" si="5"/>
        <v>3.2528459927536918E-2</v>
      </c>
    </row>
    <row r="11" spans="1:14" ht="15.75" x14ac:dyDescent="0.25">
      <c r="A11" s="153" t="s">
        <v>11</v>
      </c>
      <c r="B11" s="84"/>
      <c r="C11" s="147">
        <v>2912.9474576271186</v>
      </c>
      <c r="D11" s="154">
        <v>3</v>
      </c>
      <c r="E11" s="155">
        <v>1</v>
      </c>
      <c r="F11" s="156">
        <v>41600</v>
      </c>
      <c r="G11" s="156">
        <f t="shared" si="0"/>
        <v>41600</v>
      </c>
      <c r="H11" s="156">
        <f>(C11*1)</f>
        <v>2912.9474576271186</v>
      </c>
      <c r="I11" s="156">
        <f t="shared" si="1"/>
        <v>4451.2947457627115</v>
      </c>
      <c r="J11" s="156">
        <f t="shared" si="2"/>
        <v>48964.242203389826</v>
      </c>
      <c r="K11" s="156">
        <f t="shared" si="3"/>
        <v>23201.615961983618</v>
      </c>
      <c r="L11" s="157">
        <f t="shared" si="4"/>
        <v>72165.858165373444</v>
      </c>
      <c r="M11" s="147">
        <v>2912.9474576271186</v>
      </c>
      <c r="N11" s="148">
        <f t="shared" si="5"/>
        <v>4.6443593487310739E-2</v>
      </c>
    </row>
    <row r="12" spans="1:14" ht="15.75" x14ac:dyDescent="0.25">
      <c r="A12" s="5" t="s">
        <v>12</v>
      </c>
      <c r="B12" s="84"/>
      <c r="C12" s="6">
        <v>313.08813559322033</v>
      </c>
      <c r="D12" s="87">
        <v>1</v>
      </c>
      <c r="E12" s="79">
        <v>0.5</v>
      </c>
      <c r="F12" s="80">
        <v>41600</v>
      </c>
      <c r="G12" s="80">
        <f t="shared" si="0"/>
        <v>20800</v>
      </c>
      <c r="H12" s="80">
        <v>2000</v>
      </c>
      <c r="I12" s="80">
        <f t="shared" si="1"/>
        <v>2280</v>
      </c>
      <c r="J12" s="80">
        <f t="shared" si="2"/>
        <v>25080</v>
      </c>
      <c r="K12" s="80">
        <f t="shared" si="3"/>
        <v>2493.7458673575647</v>
      </c>
      <c r="L12" s="97">
        <f t="shared" si="4"/>
        <v>27573.745867357564</v>
      </c>
      <c r="M12" s="6">
        <v>313.08813559322033</v>
      </c>
      <c r="N12" s="85">
        <f t="shared" si="5"/>
        <v>4.9918298584886141E-3</v>
      </c>
    </row>
    <row r="13" spans="1:14" ht="15.75" x14ac:dyDescent="0.25">
      <c r="A13" s="5" t="s">
        <v>13</v>
      </c>
      <c r="B13" s="91"/>
      <c r="C13" s="6">
        <v>8654.9429378531077</v>
      </c>
      <c r="D13" s="79">
        <v>4</v>
      </c>
      <c r="E13" s="188">
        <f>((C13/3000)*1)</f>
        <v>2.8849809792843693</v>
      </c>
      <c r="F13" s="80">
        <v>41600</v>
      </c>
      <c r="G13" s="80">
        <f t="shared" si="0"/>
        <v>120015.20873822976</v>
      </c>
      <c r="H13" s="80">
        <f>(C13*1)</f>
        <v>8654.9429378531077</v>
      </c>
      <c r="I13" s="80">
        <f t="shared" si="1"/>
        <v>12867.015167608288</v>
      </c>
      <c r="J13" s="80">
        <f t="shared" si="2"/>
        <v>141537.16684369114</v>
      </c>
      <c r="K13" s="80">
        <f t="shared" si="3"/>
        <v>68936.589189469421</v>
      </c>
      <c r="L13" s="97">
        <f t="shared" si="4"/>
        <v>210473.75603316055</v>
      </c>
      <c r="M13" s="6">
        <v>8654.9429378531077</v>
      </c>
      <c r="N13" s="85">
        <f t="shared" si="5"/>
        <v>0.13799310056521305</v>
      </c>
    </row>
    <row r="14" spans="1:14" ht="15.75" x14ac:dyDescent="0.25">
      <c r="A14" s="5" t="s">
        <v>14</v>
      </c>
      <c r="B14" s="84"/>
      <c r="C14" s="6">
        <v>1189.939548022599</v>
      </c>
      <c r="D14" s="87">
        <v>2</v>
      </c>
      <c r="E14" s="79">
        <v>0.8</v>
      </c>
      <c r="F14" s="80">
        <v>41600</v>
      </c>
      <c r="G14" s="80">
        <f t="shared" si="0"/>
        <v>33280</v>
      </c>
      <c r="H14" s="80">
        <v>2500</v>
      </c>
      <c r="I14" s="80">
        <f t="shared" si="1"/>
        <v>3578</v>
      </c>
      <c r="J14" s="80">
        <f t="shared" si="2"/>
        <v>39358</v>
      </c>
      <c r="K14" s="80">
        <f t="shared" si="3"/>
        <v>9477.8641952184589</v>
      </c>
      <c r="L14" s="97">
        <f t="shared" si="4"/>
        <v>48835.864195218455</v>
      </c>
      <c r="M14" s="6">
        <v>1189.939548022599</v>
      </c>
      <c r="N14" s="85">
        <f t="shared" si="5"/>
        <v>1.8972216096151174E-2</v>
      </c>
    </row>
    <row r="15" spans="1:14" ht="105" x14ac:dyDescent="0.25">
      <c r="A15" s="79"/>
      <c r="B15" s="92">
        <v>1500198</v>
      </c>
      <c r="C15" s="87">
        <f>SUM(C3:C14)</f>
        <v>62720.113559322032</v>
      </c>
      <c r="D15" s="187" t="s">
        <v>94</v>
      </c>
      <c r="E15" s="150" t="s">
        <v>73</v>
      </c>
      <c r="F15" s="79" t="s">
        <v>57</v>
      </c>
      <c r="G15" s="85"/>
      <c r="H15" s="79" t="s">
        <v>74</v>
      </c>
      <c r="I15" s="87" t="s">
        <v>36</v>
      </c>
      <c r="J15" s="93">
        <f>SUM(J3:J14)</f>
        <v>1000632.5223992468</v>
      </c>
      <c r="K15" s="93">
        <f>(B15-J15)</f>
        <v>499565.47760075319</v>
      </c>
      <c r="L15" s="98">
        <f>SUM(J15:K15)</f>
        <v>1500198</v>
      </c>
      <c r="M15" s="87">
        <f>SUM(M3:M14)</f>
        <v>62720.113559322032</v>
      </c>
      <c r="N15" s="85">
        <f>SUM(N3:N14)</f>
        <v>1</v>
      </c>
    </row>
    <row r="16" spans="1:14" ht="143.44999999999999" customHeight="1" x14ac:dyDescent="0.25">
      <c r="A16" s="79"/>
      <c r="B16" s="79"/>
      <c r="C16" s="87" t="s">
        <v>39</v>
      </c>
      <c r="D16" s="87"/>
      <c r="E16" s="150"/>
      <c r="F16" s="85"/>
      <c r="G16" s="85"/>
      <c r="H16" s="87"/>
      <c r="I16" s="87"/>
      <c r="J16" s="85">
        <f>(J15/L15)</f>
        <v>0.66700030422600676</v>
      </c>
      <c r="K16" s="94" t="s">
        <v>42</v>
      </c>
      <c r="L16" s="87"/>
      <c r="M16" s="87"/>
      <c r="N16" s="95"/>
    </row>
  </sheetData>
  <mergeCells count="2">
    <mergeCell ref="E1:I1"/>
    <mergeCell ref="M1:N1"/>
  </mergeCells>
  <pageMargins left="0.7" right="0.7" top="0.75" bottom="0.75" header="0.3" footer="0.3"/>
  <pageSetup scale="5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B2FAA-A144-4F0D-BD44-C4A2A509ABA7}">
  <sheetPr>
    <pageSetUpPr fitToPage="1"/>
  </sheetPr>
  <dimension ref="A1:N16"/>
  <sheetViews>
    <sheetView workbookViewId="0">
      <selection activeCell="L11" sqref="L11"/>
    </sheetView>
  </sheetViews>
  <sheetFormatPr defaultRowHeight="15" x14ac:dyDescent="0.25"/>
  <cols>
    <col min="1" max="1" width="21.140625" customWidth="1"/>
    <col min="2" max="2" width="14.7109375" customWidth="1"/>
    <col min="3" max="3" width="13.28515625" customWidth="1"/>
    <col min="4" max="4" width="11.85546875" customWidth="1"/>
    <col min="5" max="6" width="12.28515625" customWidth="1"/>
    <col min="7" max="7" width="12.85546875" customWidth="1"/>
    <col min="8" max="8" width="13.7109375" customWidth="1"/>
    <col min="9" max="9" width="12.7109375" customWidth="1"/>
    <col min="10" max="10" width="13.140625" customWidth="1"/>
    <col min="11" max="11" width="20.42578125" customWidth="1"/>
    <col min="12" max="12" width="20" customWidth="1"/>
    <col min="13" max="13" width="18.5703125" customWidth="1"/>
    <col min="14" max="14" width="16.140625" customWidth="1"/>
  </cols>
  <sheetData>
    <row r="1" spans="1:14" s="115" customFormat="1" ht="31.5" x14ac:dyDescent="0.25">
      <c r="A1" s="149"/>
      <c r="B1" s="108"/>
      <c r="C1" s="109" t="s">
        <v>58</v>
      </c>
      <c r="D1" s="152" t="s">
        <v>59</v>
      </c>
      <c r="E1" s="278" t="s">
        <v>25</v>
      </c>
      <c r="F1" s="279"/>
      <c r="G1" s="279"/>
      <c r="H1" s="279"/>
      <c r="I1" s="280"/>
      <c r="J1" s="109" t="s">
        <v>54</v>
      </c>
      <c r="K1" s="109" t="s">
        <v>55</v>
      </c>
      <c r="L1" s="111" t="s">
        <v>56</v>
      </c>
      <c r="M1" s="278" t="s">
        <v>41</v>
      </c>
      <c r="N1" s="280"/>
    </row>
    <row r="2" spans="1:14" s="115" customFormat="1" ht="63" customHeight="1" x14ac:dyDescent="0.25">
      <c r="A2" s="110"/>
      <c r="B2" s="110" t="s">
        <v>160</v>
      </c>
      <c r="C2" s="108"/>
      <c r="D2" s="112"/>
      <c r="E2" s="110" t="s">
        <v>27</v>
      </c>
      <c r="F2" s="110" t="s">
        <v>28</v>
      </c>
      <c r="G2" s="110" t="s">
        <v>29</v>
      </c>
      <c r="H2" s="110" t="s">
        <v>30</v>
      </c>
      <c r="I2" s="110" t="s">
        <v>31</v>
      </c>
      <c r="J2" s="110" t="s">
        <v>19</v>
      </c>
      <c r="K2" s="110"/>
      <c r="L2" s="111"/>
      <c r="M2" s="110" t="s">
        <v>44</v>
      </c>
      <c r="N2" s="120" t="s">
        <v>43</v>
      </c>
    </row>
    <row r="3" spans="1:14" ht="15.75" x14ac:dyDescent="0.25">
      <c r="A3" s="5" t="s">
        <v>3</v>
      </c>
      <c r="B3" s="84"/>
      <c r="C3" s="6">
        <v>859.45762711864404</v>
      </c>
      <c r="D3" s="79">
        <v>1</v>
      </c>
      <c r="E3" s="79">
        <v>0.5</v>
      </c>
      <c r="F3" s="80">
        <v>41600</v>
      </c>
      <c r="G3" s="80">
        <f>(E3)*(F3)</f>
        <v>20800</v>
      </c>
      <c r="H3" s="80">
        <f>((C3+1000)*1.75)</f>
        <v>3254.0508474576272</v>
      </c>
      <c r="I3" s="80">
        <f>SUM(G3+H3)*0.3</f>
        <v>7216.2152542372878</v>
      </c>
      <c r="J3" s="80">
        <f>SUM(G3+H3+I3)</f>
        <v>31270.266101694913</v>
      </c>
      <c r="K3" s="80">
        <f>($K$15*N3)</f>
        <v>6932.5978216146914</v>
      </c>
      <c r="L3" s="97">
        <f>SUM(J3:K3)</f>
        <v>38202.863923309604</v>
      </c>
      <c r="M3" s="6">
        <v>859.45762711864404</v>
      </c>
      <c r="N3" s="85">
        <f>(M3/$M$15)</f>
        <v>1.3703062356635412E-2</v>
      </c>
    </row>
    <row r="4" spans="1:14" ht="15.75" x14ac:dyDescent="0.25">
      <c r="A4" s="5" t="s">
        <v>4</v>
      </c>
      <c r="B4" s="84"/>
      <c r="C4" s="6">
        <v>1377.1785310734463</v>
      </c>
      <c r="D4" s="79">
        <v>2</v>
      </c>
      <c r="E4" s="79">
        <v>0.8</v>
      </c>
      <c r="F4" s="80">
        <v>41600</v>
      </c>
      <c r="G4" s="80">
        <f t="shared" ref="G4:G14" si="0">(E4)*(F4)</f>
        <v>33280</v>
      </c>
      <c r="H4" s="80">
        <f>((C4+1000)*1.5)</f>
        <v>3565.7677966101692</v>
      </c>
      <c r="I4" s="80">
        <f>SUM(G4+H4)*0.3</f>
        <v>11053.73033898305</v>
      </c>
      <c r="J4" s="80">
        <f t="shared" ref="J4:J14" si="1">SUM(G4+H4+I4)</f>
        <v>47899.498135593218</v>
      </c>
      <c r="K4" s="80">
        <f t="shared" ref="K4:K14" si="2">($K$15*N4)</f>
        <v>11108.662699873064</v>
      </c>
      <c r="L4" s="97">
        <f t="shared" ref="L4:L14" si="3">SUM(J4:K4)</f>
        <v>59008.160835466282</v>
      </c>
      <c r="M4" s="6">
        <v>1377.1785310734463</v>
      </c>
      <c r="N4" s="85">
        <f>(M4/$M$15)</f>
        <v>2.1957526109561028E-2</v>
      </c>
    </row>
    <row r="5" spans="1:14" ht="15.75" x14ac:dyDescent="0.25">
      <c r="A5" s="5" t="s">
        <v>5</v>
      </c>
      <c r="B5" s="84"/>
      <c r="C5" s="6">
        <v>1098.8779661016949</v>
      </c>
      <c r="D5" s="87">
        <v>2</v>
      </c>
      <c r="E5" s="79">
        <v>0.8</v>
      </c>
      <c r="F5" s="80">
        <v>41600</v>
      </c>
      <c r="G5" s="80">
        <f t="shared" si="0"/>
        <v>33280</v>
      </c>
      <c r="H5" s="80">
        <f>((C5+1000)*1.5)</f>
        <v>3148.3169491525427</v>
      </c>
      <c r="I5" s="80">
        <f>SUM(G5+H5)*0.3</f>
        <v>10928.495084745762</v>
      </c>
      <c r="J5" s="80">
        <f t="shared" si="1"/>
        <v>47356.812033898299</v>
      </c>
      <c r="K5" s="80">
        <f t="shared" si="2"/>
        <v>8863.8215004930717</v>
      </c>
      <c r="L5" s="97">
        <f t="shared" si="3"/>
        <v>56220.633534391367</v>
      </c>
      <c r="M5" s="6">
        <v>1098.8779661016949</v>
      </c>
      <c r="N5" s="85">
        <f t="shared" ref="N5:N14" si="4">(M5/$M$15)</f>
        <v>1.7520344013126708E-2</v>
      </c>
    </row>
    <row r="6" spans="1:14" ht="15.75" x14ac:dyDescent="0.25">
      <c r="A6" s="5" t="s">
        <v>6</v>
      </c>
      <c r="B6" s="84"/>
      <c r="C6" s="6">
        <v>385.73276836158192</v>
      </c>
      <c r="D6" s="79">
        <v>1</v>
      </c>
      <c r="E6" s="79">
        <v>0.5</v>
      </c>
      <c r="F6" s="80">
        <v>41600</v>
      </c>
      <c r="G6" s="80">
        <f t="shared" si="0"/>
        <v>20800</v>
      </c>
      <c r="H6" s="80">
        <f>((C6+1000)*1.75)</f>
        <v>2425.0323446327684</v>
      </c>
      <c r="I6" s="80">
        <f>SUM(G6+H6)*0.3</f>
        <v>6967.5097033898301</v>
      </c>
      <c r="J6" s="80">
        <f t="shared" si="1"/>
        <v>30192.542048022598</v>
      </c>
      <c r="K6" s="80">
        <f t="shared" si="2"/>
        <v>3111.4159270818318</v>
      </c>
      <c r="L6" s="97">
        <f t="shared" si="3"/>
        <v>33303.957975104429</v>
      </c>
      <c r="M6" s="6">
        <v>385.73276836158192</v>
      </c>
      <c r="N6" s="85">
        <f t="shared" si="4"/>
        <v>6.1500648910137509E-3</v>
      </c>
    </row>
    <row r="7" spans="1:14" ht="15.75" x14ac:dyDescent="0.25">
      <c r="A7" s="5" t="s">
        <v>32</v>
      </c>
      <c r="B7" s="84"/>
      <c r="C7" s="89">
        <v>9136</v>
      </c>
      <c r="D7" s="79">
        <v>3</v>
      </c>
      <c r="E7" s="90">
        <v>0</v>
      </c>
      <c r="F7" s="80">
        <v>41600</v>
      </c>
      <c r="G7" s="80">
        <f t="shared" si="0"/>
        <v>0</v>
      </c>
      <c r="H7" s="80">
        <v>0</v>
      </c>
      <c r="I7" s="80">
        <f t="shared" ref="I7" si="5">SUM(G7+H7)*0.1</f>
        <v>0</v>
      </c>
      <c r="J7" s="80">
        <f t="shared" si="1"/>
        <v>0</v>
      </c>
      <c r="K7" s="80">
        <f t="shared" si="2"/>
        <v>73693.235943007763</v>
      </c>
      <c r="L7" s="97">
        <f t="shared" si="3"/>
        <v>73693.235943007763</v>
      </c>
      <c r="M7" s="89">
        <v>9136</v>
      </c>
      <c r="N7" s="85">
        <f t="shared" si="4"/>
        <v>0.14566300157219861</v>
      </c>
    </row>
    <row r="8" spans="1:14" ht="15.75" x14ac:dyDescent="0.25">
      <c r="A8" s="5" t="s">
        <v>8</v>
      </c>
      <c r="B8" s="84"/>
      <c r="C8" s="6">
        <v>12099.93559322034</v>
      </c>
      <c r="D8" s="87">
        <v>3</v>
      </c>
      <c r="E8" s="188">
        <f>((C8/3000)*0.8)</f>
        <v>3.2266494915254245</v>
      </c>
      <c r="F8" s="80">
        <v>41600</v>
      </c>
      <c r="G8" s="80">
        <f t="shared" si="0"/>
        <v>134228.61884745766</v>
      </c>
      <c r="H8" s="80">
        <f>((C8+1000)*1)</f>
        <v>13099.93559322034</v>
      </c>
      <c r="I8" s="80">
        <f>SUM(G8+H8)*0.25</f>
        <v>36832.138610169502</v>
      </c>
      <c r="J8" s="80">
        <f t="shared" si="1"/>
        <v>184160.69305084751</v>
      </c>
      <c r="K8" s="80">
        <f t="shared" si="2"/>
        <v>97601.073617161135</v>
      </c>
      <c r="L8" s="97">
        <f t="shared" si="3"/>
        <v>281761.76666800864</v>
      </c>
      <c r="M8" s="6">
        <v>12099.93559322034</v>
      </c>
      <c r="N8" s="85">
        <f t="shared" si="4"/>
        <v>0.19291954217806001</v>
      </c>
    </row>
    <row r="9" spans="1:14" ht="15.75" x14ac:dyDescent="0.25">
      <c r="A9" s="5" t="s">
        <v>9</v>
      </c>
      <c r="B9" s="84"/>
      <c r="C9" s="6">
        <v>22651.82429378531</v>
      </c>
      <c r="D9" s="87">
        <v>3</v>
      </c>
      <c r="E9" s="188">
        <f>((C9/3000)*0.8)</f>
        <v>6.0404864783427499</v>
      </c>
      <c r="F9" s="80">
        <v>41600</v>
      </c>
      <c r="G9" s="80">
        <f t="shared" si="0"/>
        <v>251284.23749905839</v>
      </c>
      <c r="H9" s="80">
        <f>((C9+1000)*1)</f>
        <v>23651.82429378531</v>
      </c>
      <c r="I9" s="80">
        <f>SUM(G9+H9)*0.25</f>
        <v>68734.015448210921</v>
      </c>
      <c r="J9" s="80">
        <f t="shared" si="1"/>
        <v>343670.07724105462</v>
      </c>
      <c r="K9" s="80">
        <f t="shared" si="2"/>
        <v>182715.21806277102</v>
      </c>
      <c r="L9" s="97">
        <f t="shared" si="3"/>
        <v>526385.29530382564</v>
      </c>
      <c r="M9" s="6">
        <v>22651.82429378531</v>
      </c>
      <c r="N9" s="85">
        <f t="shared" si="4"/>
        <v>0.36115725894470402</v>
      </c>
    </row>
    <row r="10" spans="1:14" ht="15.75" x14ac:dyDescent="0.25">
      <c r="A10" s="5" t="s">
        <v>10</v>
      </c>
      <c r="B10" s="84"/>
      <c r="C10" s="6">
        <v>2040.1887005649717</v>
      </c>
      <c r="D10" s="87">
        <v>2</v>
      </c>
      <c r="E10" s="79">
        <v>0.8</v>
      </c>
      <c r="F10" s="80">
        <v>41600</v>
      </c>
      <c r="G10" s="80">
        <f t="shared" si="0"/>
        <v>33280</v>
      </c>
      <c r="H10" s="80">
        <f>((C10+1000)*1.5)</f>
        <v>4560.2830508474572</v>
      </c>
      <c r="I10" s="80">
        <f>SUM(G10+H10)*0.3</f>
        <v>11352.084915254238</v>
      </c>
      <c r="J10" s="80">
        <f t="shared" si="1"/>
        <v>49192.367966101694</v>
      </c>
      <c r="K10" s="80">
        <f t="shared" si="2"/>
        <v>16456.666733690112</v>
      </c>
      <c r="L10" s="97">
        <f t="shared" si="3"/>
        <v>65649.03469979181</v>
      </c>
      <c r="M10" s="6">
        <v>2040.1887005649717</v>
      </c>
      <c r="N10" s="85">
        <f t="shared" si="4"/>
        <v>3.2528459927536918E-2</v>
      </c>
    </row>
    <row r="11" spans="1:14" ht="15.75" x14ac:dyDescent="0.25">
      <c r="A11" s="153" t="s">
        <v>11</v>
      </c>
      <c r="B11" s="84"/>
      <c r="C11" s="147">
        <v>2912.9474576271186</v>
      </c>
      <c r="D11" s="154">
        <v>2</v>
      </c>
      <c r="E11" s="155">
        <v>0.8</v>
      </c>
      <c r="F11" s="156">
        <v>41600</v>
      </c>
      <c r="G11" s="156">
        <f t="shared" si="0"/>
        <v>33280</v>
      </c>
      <c r="H11" s="156">
        <f>((C11+1000)*1.5)</f>
        <v>5869.421186440678</v>
      </c>
      <c r="I11" s="156">
        <f>SUM(G11+H11)*0.3</f>
        <v>11744.826355932202</v>
      </c>
      <c r="J11" s="156">
        <f t="shared" si="1"/>
        <v>50894.247542372876</v>
      </c>
      <c r="K11" s="156">
        <f t="shared" si="2"/>
        <v>23496.554759686936</v>
      </c>
      <c r="L11" s="157">
        <f t="shared" si="3"/>
        <v>74390.802302059805</v>
      </c>
      <c r="M11" s="147">
        <v>2912.9474576271186</v>
      </c>
      <c r="N11" s="148">
        <f t="shared" si="4"/>
        <v>4.6443593487310739E-2</v>
      </c>
    </row>
    <row r="12" spans="1:14" ht="15.75" x14ac:dyDescent="0.25">
      <c r="A12" s="5" t="s">
        <v>12</v>
      </c>
      <c r="B12" s="84"/>
      <c r="C12" s="6">
        <v>313.08813559322033</v>
      </c>
      <c r="D12" s="87">
        <v>1</v>
      </c>
      <c r="E12" s="79">
        <v>0.5</v>
      </c>
      <c r="F12" s="80">
        <v>41600</v>
      </c>
      <c r="G12" s="80">
        <f t="shared" si="0"/>
        <v>20800</v>
      </c>
      <c r="H12" s="80">
        <f>((C12+1000)*1.75)</f>
        <v>2297.9042372881358</v>
      </c>
      <c r="I12" s="80">
        <f>SUM(G12+H12)*0.3</f>
        <v>6929.3712711864409</v>
      </c>
      <c r="J12" s="80">
        <f t="shared" si="1"/>
        <v>30027.27550847458</v>
      </c>
      <c r="K12" s="80">
        <f t="shared" si="2"/>
        <v>2525.4463493024946</v>
      </c>
      <c r="L12" s="97">
        <f t="shared" si="3"/>
        <v>32552.721857777076</v>
      </c>
      <c r="M12" s="6">
        <v>313.08813559322033</v>
      </c>
      <c r="N12" s="85">
        <f t="shared" si="4"/>
        <v>4.9918298584886141E-3</v>
      </c>
    </row>
    <row r="13" spans="1:14" ht="15.75" x14ac:dyDescent="0.25">
      <c r="A13" s="5" t="s">
        <v>13</v>
      </c>
      <c r="B13" s="91"/>
      <c r="C13" s="6">
        <v>8654.9429378531077</v>
      </c>
      <c r="D13" s="79">
        <v>3</v>
      </c>
      <c r="E13" s="188">
        <f>((C13/3000)*0.8)</f>
        <v>2.3079847834274956</v>
      </c>
      <c r="F13" s="80">
        <v>41600</v>
      </c>
      <c r="G13" s="80">
        <f t="shared" si="0"/>
        <v>96012.166990583821</v>
      </c>
      <c r="H13" s="80">
        <f>((C13+1000)*1)</f>
        <v>9654.9429378531077</v>
      </c>
      <c r="I13" s="80">
        <f>SUM(G13+H13)*0.25</f>
        <v>26416.777482109232</v>
      </c>
      <c r="J13" s="80">
        <f>SUM(G13+H13+I13)</f>
        <v>132083.88741054616</v>
      </c>
      <c r="K13" s="80">
        <f t="shared" si="2"/>
        <v>69812.9106821889</v>
      </c>
      <c r="L13" s="97">
        <f t="shared" si="3"/>
        <v>201896.79809273506</v>
      </c>
      <c r="M13" s="6">
        <v>8654.9429378531077</v>
      </c>
      <c r="N13" s="85">
        <f t="shared" si="4"/>
        <v>0.13799310056521305</v>
      </c>
    </row>
    <row r="14" spans="1:14" ht="15.75" x14ac:dyDescent="0.25">
      <c r="A14" s="5" t="s">
        <v>14</v>
      </c>
      <c r="B14" s="84"/>
      <c r="C14" s="6">
        <v>1189.939548022599</v>
      </c>
      <c r="D14" s="87">
        <v>2</v>
      </c>
      <c r="E14" s="79">
        <v>0.8</v>
      </c>
      <c r="F14" s="80">
        <v>41600</v>
      </c>
      <c r="G14" s="80">
        <f t="shared" si="0"/>
        <v>33280</v>
      </c>
      <c r="H14" s="80">
        <f>((C14+1000)*1.5)</f>
        <v>3284.9093220338982</v>
      </c>
      <c r="I14" s="80">
        <f>SUM(G14+H14)*0.3</f>
        <v>10969.472796610169</v>
      </c>
      <c r="J14" s="80">
        <f t="shared" si="1"/>
        <v>47534.382118644069</v>
      </c>
      <c r="K14" s="80">
        <f t="shared" si="2"/>
        <v>9598.3467458784362</v>
      </c>
      <c r="L14" s="97">
        <f t="shared" si="3"/>
        <v>57132.728864522505</v>
      </c>
      <c r="M14" s="6">
        <v>1189.939548022599</v>
      </c>
      <c r="N14" s="85">
        <f t="shared" si="4"/>
        <v>1.8972216096151174E-2</v>
      </c>
    </row>
    <row r="15" spans="1:14" ht="180" x14ac:dyDescent="0.25">
      <c r="A15" s="79"/>
      <c r="B15" s="92">
        <v>1500198</v>
      </c>
      <c r="C15" s="87">
        <f>SUM(C3:C14)</f>
        <v>62720.113559322032</v>
      </c>
      <c r="D15" s="151" t="s">
        <v>26</v>
      </c>
      <c r="E15" s="85" t="s">
        <v>33</v>
      </c>
      <c r="F15" s="79" t="s">
        <v>57</v>
      </c>
      <c r="G15" s="85"/>
      <c r="H15" s="79" t="s">
        <v>95</v>
      </c>
      <c r="I15" s="87" t="s">
        <v>96</v>
      </c>
      <c r="J15" s="93">
        <f>SUM(J3:J14)</f>
        <v>994282.04915725056</v>
      </c>
      <c r="K15" s="93">
        <f>(B15-J15)</f>
        <v>505915.95084274944</v>
      </c>
      <c r="L15" s="98">
        <f>SUM(J15:K15)</f>
        <v>1500198</v>
      </c>
      <c r="M15" s="87">
        <f>SUM(M3:M14)</f>
        <v>62720.113559322032</v>
      </c>
      <c r="N15" s="85">
        <f>SUM(N3:N14)</f>
        <v>1</v>
      </c>
    </row>
    <row r="16" spans="1:14" ht="120" x14ac:dyDescent="0.25">
      <c r="A16" s="79"/>
      <c r="B16" s="79"/>
      <c r="C16" s="87" t="s">
        <v>39</v>
      </c>
      <c r="D16" s="87"/>
      <c r="E16" s="150"/>
      <c r="F16" s="85"/>
      <c r="G16" s="85"/>
      <c r="H16" s="87"/>
      <c r="I16" s="87"/>
      <c r="J16" s="85">
        <f>(J15/L15)</f>
        <v>0.66276721416589712</v>
      </c>
      <c r="K16" s="94" t="s">
        <v>42</v>
      </c>
      <c r="L16" s="87"/>
      <c r="M16" s="87"/>
      <c r="N16" s="95"/>
    </row>
  </sheetData>
  <mergeCells count="2">
    <mergeCell ref="E1:I1"/>
    <mergeCell ref="M1:N1"/>
  </mergeCells>
  <pageMargins left="0.7" right="0.7" top="0.75" bottom="0.75" header="0.3" footer="0.3"/>
  <pageSetup scale="57"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E1BCD-F375-4AC7-BBE3-DED5F957A753}">
  <dimension ref="A1:N16"/>
  <sheetViews>
    <sheetView workbookViewId="0">
      <selection activeCell="K15" sqref="K15"/>
    </sheetView>
  </sheetViews>
  <sheetFormatPr defaultRowHeight="15" x14ac:dyDescent="0.25"/>
  <cols>
    <col min="1" max="1" width="20.5703125" customWidth="1"/>
    <col min="2" max="3" width="15" customWidth="1"/>
    <col min="4" max="4" width="12.7109375" customWidth="1"/>
    <col min="5" max="5" width="12.85546875" customWidth="1"/>
    <col min="6" max="6" width="14" customWidth="1"/>
    <col min="7" max="7" width="13.42578125" customWidth="1"/>
    <col min="8" max="8" width="11.85546875" customWidth="1"/>
    <col min="9" max="9" width="13" customWidth="1"/>
    <col min="10" max="10" width="13.7109375" customWidth="1"/>
    <col min="11" max="11" width="16.28515625" customWidth="1"/>
    <col min="12" max="12" width="17.85546875" customWidth="1"/>
    <col min="13" max="13" width="18.140625" customWidth="1"/>
    <col min="14" max="14" width="20.5703125" customWidth="1"/>
    <col min="16" max="16" width="21.42578125" customWidth="1"/>
    <col min="17" max="17" width="21" customWidth="1"/>
  </cols>
  <sheetData>
    <row r="1" spans="1:14" ht="47.25" x14ac:dyDescent="0.25">
      <c r="A1" s="107"/>
      <c r="B1" s="108"/>
      <c r="C1" s="109" t="s">
        <v>58</v>
      </c>
      <c r="D1" s="110" t="s">
        <v>59</v>
      </c>
      <c r="E1" s="278" t="s">
        <v>25</v>
      </c>
      <c r="F1" s="279"/>
      <c r="G1" s="279"/>
      <c r="H1" s="279"/>
      <c r="I1" s="280"/>
      <c r="J1" s="109" t="s">
        <v>54</v>
      </c>
      <c r="K1" s="109" t="s">
        <v>55</v>
      </c>
      <c r="L1" s="111" t="s">
        <v>56</v>
      </c>
      <c r="M1" s="278" t="s">
        <v>41</v>
      </c>
      <c r="N1" s="280"/>
    </row>
    <row r="2" spans="1:14" ht="68.25" customHeight="1" x14ac:dyDescent="0.25">
      <c r="A2" s="110"/>
      <c r="B2" s="110" t="s">
        <v>160</v>
      </c>
      <c r="C2" s="108"/>
      <c r="D2" s="112"/>
      <c r="E2" s="110" t="s">
        <v>27</v>
      </c>
      <c r="F2" s="110" t="s">
        <v>28</v>
      </c>
      <c r="G2" s="110" t="s">
        <v>29</v>
      </c>
      <c r="H2" s="110" t="s">
        <v>30</v>
      </c>
      <c r="I2" s="110" t="s">
        <v>31</v>
      </c>
      <c r="J2" s="110" t="s">
        <v>19</v>
      </c>
      <c r="K2" s="110"/>
      <c r="L2" s="111"/>
      <c r="M2" s="110" t="s">
        <v>44</v>
      </c>
      <c r="N2" s="120" t="s">
        <v>43</v>
      </c>
    </row>
    <row r="3" spans="1:14" ht="15.75" x14ac:dyDescent="0.25">
      <c r="A3" s="5" t="s">
        <v>3</v>
      </c>
      <c r="B3" s="84"/>
      <c r="C3" s="6">
        <v>859.45762711864404</v>
      </c>
      <c r="D3" s="79">
        <v>1</v>
      </c>
      <c r="E3" s="79">
        <v>0.7</v>
      </c>
      <c r="F3" s="80">
        <v>41600</v>
      </c>
      <c r="G3" s="80">
        <f>(E3)*(F3)</f>
        <v>29119.999999999996</v>
      </c>
      <c r="H3" s="80">
        <v>3600</v>
      </c>
      <c r="I3" s="80">
        <f>SUM(G3+H3)*0.2</f>
        <v>6544</v>
      </c>
      <c r="J3" s="80">
        <f>SUM(G3+H3+I3)</f>
        <v>39264</v>
      </c>
      <c r="K3" s="80">
        <f>($K$15*N3)</f>
        <v>4484.0588722348293</v>
      </c>
      <c r="L3" s="97">
        <f>SUM(J3:K3)</f>
        <v>43748.058872234833</v>
      </c>
      <c r="M3" s="6">
        <v>859.45762711864404</v>
      </c>
      <c r="N3" s="85">
        <f>(M3/$M$15)</f>
        <v>1.3703062356635412E-2</v>
      </c>
    </row>
    <row r="4" spans="1:14" ht="15.75" x14ac:dyDescent="0.25">
      <c r="A4" s="5" t="s">
        <v>4</v>
      </c>
      <c r="B4" s="84"/>
      <c r="C4" s="6">
        <v>1377.1785310734463</v>
      </c>
      <c r="D4" s="79">
        <v>2</v>
      </c>
      <c r="E4" s="79">
        <v>1</v>
      </c>
      <c r="F4" s="80">
        <v>41600</v>
      </c>
      <c r="G4" s="80">
        <f t="shared" ref="G4:G14" si="0">(E4)*(F4)</f>
        <v>41600</v>
      </c>
      <c r="H4" s="80">
        <v>5200</v>
      </c>
      <c r="I4" s="80">
        <f t="shared" ref="I4:I14" si="1">SUM(G4+H4)*0.2</f>
        <v>9360</v>
      </c>
      <c r="J4" s="80">
        <f t="shared" ref="J4:J14" si="2">SUM(G4+H4+I4)</f>
        <v>56160</v>
      </c>
      <c r="K4" s="80">
        <f t="shared" ref="K4:K14" si="3">($K$15*N4)</f>
        <v>7185.1705262239047</v>
      </c>
      <c r="L4" s="97">
        <f t="shared" ref="L4:L14" si="4">SUM(J4:K4)</f>
        <v>63345.170526223905</v>
      </c>
      <c r="M4" s="6">
        <v>1377.1785310734463</v>
      </c>
      <c r="N4" s="85">
        <f>(M4/$M$15)</f>
        <v>2.1957526109561028E-2</v>
      </c>
    </row>
    <row r="5" spans="1:14" ht="15.75" x14ac:dyDescent="0.25">
      <c r="A5" s="5" t="s">
        <v>5</v>
      </c>
      <c r="B5" s="84"/>
      <c r="C5" s="6">
        <v>1098.8779661016949</v>
      </c>
      <c r="D5" s="87">
        <v>2</v>
      </c>
      <c r="E5" s="79">
        <v>1</v>
      </c>
      <c r="F5" s="80">
        <v>41600</v>
      </c>
      <c r="G5" s="80">
        <f t="shared" si="0"/>
        <v>41600</v>
      </c>
      <c r="H5" s="80">
        <v>5200</v>
      </c>
      <c r="I5" s="80">
        <f t="shared" si="1"/>
        <v>9360</v>
      </c>
      <c r="J5" s="80">
        <f t="shared" si="2"/>
        <v>56160</v>
      </c>
      <c r="K5" s="80">
        <f t="shared" si="3"/>
        <v>5733.1895580716755</v>
      </c>
      <c r="L5" s="97">
        <f t="shared" si="4"/>
        <v>61893.189558071674</v>
      </c>
      <c r="M5" s="6">
        <v>1098.8779661016949</v>
      </c>
      <c r="N5" s="85">
        <f t="shared" ref="N5:N14" si="5">(M5/$M$15)</f>
        <v>1.7520344013126708E-2</v>
      </c>
    </row>
    <row r="6" spans="1:14" ht="15.75" x14ac:dyDescent="0.25">
      <c r="A6" s="5" t="s">
        <v>6</v>
      </c>
      <c r="B6" s="84"/>
      <c r="C6" s="6">
        <v>385.73276836158192</v>
      </c>
      <c r="D6" s="79">
        <v>1</v>
      </c>
      <c r="E6" s="79">
        <v>0.7</v>
      </c>
      <c r="F6" s="80">
        <v>41600</v>
      </c>
      <c r="G6" s="80">
        <f t="shared" si="0"/>
        <v>29119.999999999996</v>
      </c>
      <c r="H6" s="80">
        <v>3600</v>
      </c>
      <c r="I6" s="80">
        <f>SUM(G6+H6)*0.2</f>
        <v>6544</v>
      </c>
      <c r="J6" s="80">
        <f t="shared" si="2"/>
        <v>39264</v>
      </c>
      <c r="K6" s="80">
        <f t="shared" si="3"/>
        <v>2012.4883271815843</v>
      </c>
      <c r="L6" s="97">
        <f t="shared" si="4"/>
        <v>41276.488327181585</v>
      </c>
      <c r="M6" s="6">
        <v>385.73276836158192</v>
      </c>
      <c r="N6" s="85">
        <f t="shared" si="5"/>
        <v>6.1500648910137509E-3</v>
      </c>
    </row>
    <row r="7" spans="1:14" ht="15.75" x14ac:dyDescent="0.25">
      <c r="A7" s="5" t="s">
        <v>32</v>
      </c>
      <c r="B7" s="84"/>
      <c r="C7" s="89">
        <v>9136</v>
      </c>
      <c r="D7" s="79">
        <v>3</v>
      </c>
      <c r="E7" s="90">
        <v>0</v>
      </c>
      <c r="F7" s="80">
        <v>41600</v>
      </c>
      <c r="G7" s="80">
        <f t="shared" si="0"/>
        <v>0</v>
      </c>
      <c r="H7" s="80">
        <v>0</v>
      </c>
      <c r="I7" s="80">
        <f t="shared" si="1"/>
        <v>0</v>
      </c>
      <c r="J7" s="80">
        <f t="shared" si="2"/>
        <v>0</v>
      </c>
      <c r="K7" s="80">
        <f t="shared" si="3"/>
        <v>47665.365416650369</v>
      </c>
      <c r="L7" s="97">
        <f t="shared" si="4"/>
        <v>47665.365416650369</v>
      </c>
      <c r="M7" s="89">
        <v>9136</v>
      </c>
      <c r="N7" s="85">
        <f t="shared" si="5"/>
        <v>0.14566300157219861</v>
      </c>
    </row>
    <row r="8" spans="1:14" ht="15.75" x14ac:dyDescent="0.25">
      <c r="A8" s="5" t="s">
        <v>8</v>
      </c>
      <c r="B8" s="84"/>
      <c r="C8" s="6">
        <v>12099.93559322034</v>
      </c>
      <c r="D8" s="87">
        <v>3</v>
      </c>
      <c r="E8" s="90">
        <f>((C8/3000)*1)</f>
        <v>4.0333118644067802</v>
      </c>
      <c r="F8" s="80">
        <v>41600</v>
      </c>
      <c r="G8" s="80">
        <f t="shared" si="0"/>
        <v>167785.77355932206</v>
      </c>
      <c r="H8" s="80">
        <f t="shared" ref="H8:H9" si="6">((C8/2000)*2000)</f>
        <v>12099.93559322034</v>
      </c>
      <c r="I8" s="80">
        <f t="shared" si="1"/>
        <v>35977.141830508481</v>
      </c>
      <c r="J8" s="80">
        <f t="shared" si="2"/>
        <v>215862.85098305088</v>
      </c>
      <c r="K8" s="80">
        <f t="shared" si="3"/>
        <v>63129.143122677502</v>
      </c>
      <c r="L8" s="97">
        <f t="shared" si="4"/>
        <v>278991.9941057284</v>
      </c>
      <c r="M8" s="6">
        <v>12099.93559322034</v>
      </c>
      <c r="N8" s="85">
        <f t="shared" si="5"/>
        <v>0.19291954217806001</v>
      </c>
    </row>
    <row r="9" spans="1:14" ht="15.75" x14ac:dyDescent="0.25">
      <c r="A9" s="5" t="s">
        <v>9</v>
      </c>
      <c r="B9" s="84"/>
      <c r="C9" s="6">
        <v>22651.82429378531</v>
      </c>
      <c r="D9" s="87">
        <v>3</v>
      </c>
      <c r="E9" s="90">
        <f>((C9/3000)*1)</f>
        <v>7.5506080979284365</v>
      </c>
      <c r="F9" s="80">
        <v>41600</v>
      </c>
      <c r="G9" s="80">
        <f t="shared" si="0"/>
        <v>314105.29687382298</v>
      </c>
      <c r="H9" s="80">
        <f t="shared" si="6"/>
        <v>22651.82429378531</v>
      </c>
      <c r="I9" s="80">
        <f t="shared" si="1"/>
        <v>67351.42423352167</v>
      </c>
      <c r="J9" s="80">
        <f t="shared" si="2"/>
        <v>404108.54540112999</v>
      </c>
      <c r="K9" s="80">
        <f t="shared" si="3"/>
        <v>118181.64211000819</v>
      </c>
      <c r="L9" s="97">
        <f t="shared" si="4"/>
        <v>522290.18751113815</v>
      </c>
      <c r="M9" s="6">
        <v>22651.82429378531</v>
      </c>
      <c r="N9" s="85">
        <f t="shared" si="5"/>
        <v>0.36115725894470402</v>
      </c>
    </row>
    <row r="10" spans="1:14" ht="15.75" x14ac:dyDescent="0.25">
      <c r="A10" s="5" t="s">
        <v>10</v>
      </c>
      <c r="B10" s="84"/>
      <c r="C10" s="6">
        <v>2040.1887005649717</v>
      </c>
      <c r="D10" s="87">
        <v>2</v>
      </c>
      <c r="E10" s="79">
        <v>1</v>
      </c>
      <c r="F10" s="80">
        <v>41600</v>
      </c>
      <c r="G10" s="80">
        <f t="shared" si="0"/>
        <v>41600</v>
      </c>
      <c r="H10" s="80">
        <v>5200</v>
      </c>
      <c r="I10" s="80">
        <f t="shared" si="1"/>
        <v>9360</v>
      </c>
      <c r="J10" s="80">
        <f t="shared" si="2"/>
        <v>56160</v>
      </c>
      <c r="K10" s="80">
        <f t="shared" si="3"/>
        <v>10644.301656233631</v>
      </c>
      <c r="L10" s="97">
        <f t="shared" si="4"/>
        <v>66804.301656233627</v>
      </c>
      <c r="M10" s="6">
        <v>2040.1887005649717</v>
      </c>
      <c r="N10" s="85">
        <f t="shared" si="5"/>
        <v>3.2528459927536918E-2</v>
      </c>
    </row>
    <row r="11" spans="1:14" ht="15.75" x14ac:dyDescent="0.25">
      <c r="A11" s="5" t="s">
        <v>11</v>
      </c>
      <c r="B11" s="84"/>
      <c r="C11" s="6">
        <v>2912.9474576271186</v>
      </c>
      <c r="D11" s="87">
        <v>2</v>
      </c>
      <c r="E11" s="79">
        <v>1</v>
      </c>
      <c r="F11" s="80">
        <v>41600</v>
      </c>
      <c r="G11" s="80">
        <f t="shared" si="0"/>
        <v>41600</v>
      </c>
      <c r="H11" s="80">
        <v>5200</v>
      </c>
      <c r="I11" s="80">
        <f t="shared" si="1"/>
        <v>9360</v>
      </c>
      <c r="J11" s="80">
        <f t="shared" si="2"/>
        <v>56160</v>
      </c>
      <c r="K11" s="80">
        <f t="shared" si="3"/>
        <v>15197.756677681618</v>
      </c>
      <c r="L11" s="97">
        <f t="shared" si="4"/>
        <v>71357.756677681624</v>
      </c>
      <c r="M11" s="6">
        <v>2912.9474576271186</v>
      </c>
      <c r="N11" s="85">
        <f t="shared" si="5"/>
        <v>4.6443593487310739E-2</v>
      </c>
    </row>
    <row r="12" spans="1:14" ht="15.75" x14ac:dyDescent="0.25">
      <c r="A12" s="5" t="s">
        <v>12</v>
      </c>
      <c r="B12" s="84"/>
      <c r="C12" s="6">
        <v>313.08813559322033</v>
      </c>
      <c r="D12" s="87">
        <v>1</v>
      </c>
      <c r="E12" s="79">
        <v>0.7</v>
      </c>
      <c r="F12" s="80">
        <v>41600</v>
      </c>
      <c r="G12" s="80">
        <f t="shared" si="0"/>
        <v>29119.999999999996</v>
      </c>
      <c r="H12" s="80">
        <v>3600</v>
      </c>
      <c r="I12" s="80">
        <f>SUM(G12+H12)*0.2</f>
        <v>6544</v>
      </c>
      <c r="J12" s="80">
        <f t="shared" si="2"/>
        <v>39264</v>
      </c>
      <c r="K12" s="80">
        <f t="shared" si="3"/>
        <v>1633.478589171259</v>
      </c>
      <c r="L12" s="97">
        <f t="shared" si="4"/>
        <v>40897.47858917126</v>
      </c>
      <c r="M12" s="6">
        <v>313.08813559322033</v>
      </c>
      <c r="N12" s="85">
        <f t="shared" si="5"/>
        <v>4.9918298584886141E-3</v>
      </c>
    </row>
    <row r="13" spans="1:14" ht="15.75" x14ac:dyDescent="0.25">
      <c r="A13" s="5" t="s">
        <v>13</v>
      </c>
      <c r="B13" s="91"/>
      <c r="C13" s="6">
        <v>8654.9429378531077</v>
      </c>
      <c r="D13" s="79">
        <v>3</v>
      </c>
      <c r="E13" s="90">
        <f>((C13/3000)*1)</f>
        <v>2.8849809792843693</v>
      </c>
      <c r="F13" s="80">
        <v>41600</v>
      </c>
      <c r="G13" s="80">
        <f t="shared" si="0"/>
        <v>120015.20873822976</v>
      </c>
      <c r="H13" s="80">
        <f>((C13/2000)*2000)</f>
        <v>8654.9429378531077</v>
      </c>
      <c r="I13" s="80">
        <f t="shared" si="1"/>
        <v>25734.030335216576</v>
      </c>
      <c r="J13" s="80">
        <f t="shared" si="2"/>
        <v>154404.18201129945</v>
      </c>
      <c r="K13" s="80">
        <f t="shared" si="3"/>
        <v>45155.540476469556</v>
      </c>
      <c r="L13" s="97">
        <f t="shared" si="4"/>
        <v>199559.722487769</v>
      </c>
      <c r="M13" s="6">
        <v>8654.9429378531077</v>
      </c>
      <c r="N13" s="85">
        <f t="shared" si="5"/>
        <v>0.13799310056521305</v>
      </c>
    </row>
    <row r="14" spans="1:14" ht="15.75" x14ac:dyDescent="0.25">
      <c r="A14" s="5" t="s">
        <v>14</v>
      </c>
      <c r="B14" s="84"/>
      <c r="C14" s="6">
        <v>1189.939548022599</v>
      </c>
      <c r="D14" s="87">
        <v>2</v>
      </c>
      <c r="E14" s="79">
        <v>1</v>
      </c>
      <c r="F14" s="80">
        <v>41600</v>
      </c>
      <c r="G14" s="80">
        <f t="shared" si="0"/>
        <v>41600</v>
      </c>
      <c r="H14" s="80">
        <v>5200</v>
      </c>
      <c r="I14" s="80">
        <f t="shared" si="1"/>
        <v>9360</v>
      </c>
      <c r="J14" s="80">
        <f t="shared" si="2"/>
        <v>56160</v>
      </c>
      <c r="K14" s="80">
        <f t="shared" si="3"/>
        <v>6208.2862719156037</v>
      </c>
      <c r="L14" s="97">
        <f t="shared" si="4"/>
        <v>62368.286271915604</v>
      </c>
      <c r="M14" s="6">
        <v>1189.939548022599</v>
      </c>
      <c r="N14" s="85">
        <f t="shared" si="5"/>
        <v>1.8972216096151174E-2</v>
      </c>
    </row>
    <row r="15" spans="1:14" ht="90" x14ac:dyDescent="0.25">
      <c r="A15" s="79"/>
      <c r="B15" s="92">
        <v>1500198</v>
      </c>
      <c r="C15" s="87">
        <f>SUM(C3:C14)</f>
        <v>62720.113559322032</v>
      </c>
      <c r="D15" s="79" t="s">
        <v>26</v>
      </c>
      <c r="E15" s="85" t="s">
        <v>155</v>
      </c>
      <c r="F15" s="79" t="s">
        <v>57</v>
      </c>
      <c r="G15" s="85"/>
      <c r="H15" s="79" t="s">
        <v>153</v>
      </c>
      <c r="I15" s="87" t="s">
        <v>154</v>
      </c>
      <c r="J15" s="93">
        <f>SUM(J3:J14)</f>
        <v>1172967.5783954803</v>
      </c>
      <c r="K15" s="93">
        <f>(B15-J15)</f>
        <v>327230.42160451971</v>
      </c>
      <c r="L15" s="98">
        <f>SUM(J15:K15)</f>
        <v>1500198</v>
      </c>
      <c r="M15" s="87">
        <f>SUM(M3:M14)</f>
        <v>62720.113559322032</v>
      </c>
      <c r="N15" s="85">
        <f>SUM(N3:N14)</f>
        <v>1</v>
      </c>
    </row>
    <row r="16" spans="1:14" ht="165" x14ac:dyDescent="0.25">
      <c r="A16" s="79"/>
      <c r="B16" s="79"/>
      <c r="C16" s="87" t="s">
        <v>39</v>
      </c>
      <c r="D16" s="87"/>
      <c r="E16" s="85"/>
      <c r="F16" s="85"/>
      <c r="G16" s="85"/>
      <c r="H16" s="87"/>
      <c r="I16" s="87"/>
      <c r="J16" s="85">
        <f>(J15/L15)</f>
        <v>0.78187517807348117</v>
      </c>
      <c r="K16" s="94" t="s">
        <v>42</v>
      </c>
      <c r="L16" s="87"/>
      <c r="M16" s="87"/>
      <c r="N16" s="95"/>
    </row>
  </sheetData>
  <mergeCells count="2">
    <mergeCell ref="E1:I1"/>
    <mergeCell ref="M1:N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A - Population</vt:lpstr>
      <vt:lpstr>B - Base Formula Elements</vt:lpstr>
      <vt:lpstr>C - Scenario</vt:lpstr>
      <vt:lpstr>D - Scenario</vt:lpstr>
      <vt:lpstr> E - Scenario</vt:lpstr>
      <vt:lpstr>F - 2PopCategories</vt:lpstr>
      <vt:lpstr>G - 4PopCategories</vt:lpstr>
      <vt:lpstr>H - SLO Consult</vt:lpstr>
      <vt:lpstr>I - Oregon Averages</vt:lpstr>
      <vt:lpstr>J - Resource Sharing</vt:lpstr>
      <vt:lpstr>K - Benefits-DD</vt:lpstr>
      <vt:lpstr>L - Benefits-BBurgener</vt:lpstr>
      <vt:lpstr>M - Community Service Fees</vt:lpstr>
      <vt:lpstr>N- Graphics</vt:lpstr>
      <vt:lpstr>O - CompareScenarios</vt:lpstr>
      <vt:lpstr>UCSLD Paid Costs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Umatilla County Special Library District</dc:creator>
  <cp:lastModifiedBy>Erin McCusker</cp:lastModifiedBy>
  <cp:lastPrinted>2021-01-04T21:51:54Z</cp:lastPrinted>
  <dcterms:created xsi:type="dcterms:W3CDTF">2020-09-24T21:13:04Z</dcterms:created>
  <dcterms:modified xsi:type="dcterms:W3CDTF">2021-01-22T00:43:38Z</dcterms:modified>
</cp:coreProperties>
</file>